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lvatore/Desktop/"/>
    </mc:Choice>
  </mc:AlternateContent>
  <xr:revisionPtr revIDLastSave="0" documentId="8_{756B8DC3-E48A-1D43-BEC9-39E1C1670471}" xr6:coauthVersionLast="45" xr6:coauthVersionMax="45" xr10:uidLastSave="{00000000-0000-0000-0000-000000000000}"/>
  <bookViews>
    <workbookView xWindow="1240" yWindow="460" windowWidth="33880" windowHeight="17420" xr2:uid="{00000000-000D-0000-FFFF-FFFF00000000}"/>
  </bookViews>
  <sheets>
    <sheet name="NOTES From Author" sheetId="20" r:id="rId1"/>
    <sheet name="Ex 1" sheetId="38" r:id="rId2"/>
    <sheet name="Ex 2" sheetId="39" r:id="rId3"/>
    <sheet name="Ex 3" sheetId="40" r:id="rId4"/>
    <sheet name="Ex 4" sheetId="41" r:id="rId5"/>
    <sheet name="Ex 5" sheetId="44" r:id="rId6"/>
    <sheet name="Ex 6" sheetId="42" r:id="rId7"/>
    <sheet name="Ex 7" sheetId="43" r:id="rId8"/>
    <sheet name="Ex 8" sheetId="37" r:id="rId9"/>
    <sheet name="IS Actual &amp; Forecast" sheetId="30" r:id="rId10"/>
    <sheet name="BS Actual &amp; Forecast" sheetId="22" r:id="rId11"/>
    <sheet name="GAAP CF Act &amp; Forecast" sheetId="34" r:id="rId12"/>
    <sheet name="Summary Cash Flow" sheetId="36" r:id="rId13"/>
    <sheet name="CIP Schedule" sheetId="32" r:id="rId14"/>
    <sheet name="Assumptions Summary" sheetId="29" r:id="rId15"/>
    <sheet name="IS Actuals" sheetId="26" state="hidden" r:id="rId16"/>
    <sheet name="BS Actuals" sheetId="27" state="hidden" r:id="rId17"/>
    <sheet name="GAAP CF Actuals" sheetId="35" state="hidden" r:id="rId18"/>
    <sheet name="POM Actual &amp; Forecast" sheetId="12" state="hidden" r:id="rId19"/>
    <sheet name="POM Actuals" sheetId="28" state="hidden" r:id="rId20"/>
    <sheet name="IS for importing to SW" sheetId="21" state="hidden" r:id="rId21"/>
    <sheet name="BS for importing to SW" sheetId="31" state="hidden" r:id="rId22"/>
  </sheets>
  <externalReferences>
    <externalReference r:id="rId23"/>
  </externalReferences>
  <definedNames>
    <definedName name="_xlnm.Print_Area" localSheetId="10">'BS Actual &amp; Forecast'!$A$1:$AP$47</definedName>
    <definedName name="_xlnm.Print_Area" localSheetId="16">'BS Actuals'!$A$1:$V$51</definedName>
    <definedName name="_xlnm.Print_Area" localSheetId="21">'BS for importing to SW'!$A$1:$G$43</definedName>
    <definedName name="_xlnm.Print_Area" localSheetId="13">'CIP Schedule'!$A$1:$M$42</definedName>
    <definedName name="_xlnm.Print_Area" localSheetId="2">'Ex 2'!$A$1:$AP$46</definedName>
    <definedName name="_xlnm.Print_Area" localSheetId="3">'Ex 3'!$A$1:$AR$42</definedName>
    <definedName name="_xlnm.Print_Area" localSheetId="4">'Ex 4'!$A$1:$M$38</definedName>
    <definedName name="_xlnm.Print_Area" localSheetId="7">'Ex 7'!$A$1:$AQ$22</definedName>
    <definedName name="_xlnm.Print_Area" localSheetId="11">'GAAP CF Act &amp; Forecast'!$A$1:$AQ$44</definedName>
    <definedName name="_xlnm.Print_Area" localSheetId="17">'GAAP CF Actuals'!$A$1:$AD$44</definedName>
    <definedName name="_xlnm.Print_Area" localSheetId="15">'IS Actuals'!$A$1:$AC$50</definedName>
    <definedName name="_xlnm.Print_Area" localSheetId="12">'Summary Cash Flow'!$A$1:$AQ$24</definedName>
    <definedName name="_xlnm.Print_Titles" localSheetId="1">'Ex 1'!$A:$A</definedName>
    <definedName name="_xlnm.Print_Titles" localSheetId="9">'IS Actual &amp; Forecast'!$A:$A</definedName>
    <definedName name="_xlnm.Print_Titles" localSheetId="20">'IS for importing to SW'!$A:$A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40" l="1"/>
  <c r="D11" i="40"/>
  <c r="E11" i="40"/>
  <c r="F11" i="40"/>
  <c r="G11" i="40"/>
  <c r="H11" i="40"/>
  <c r="I11" i="40"/>
  <c r="J11" i="40"/>
  <c r="K11" i="40"/>
  <c r="L11" i="40"/>
  <c r="M11" i="40"/>
  <c r="N11" i="40"/>
  <c r="O11" i="40"/>
  <c r="C38" i="40"/>
  <c r="O38" i="40"/>
  <c r="A1" i="36"/>
  <c r="A1" i="44" s="1"/>
  <c r="H47" i="44"/>
  <c r="G47" i="44"/>
  <c r="F47" i="44"/>
  <c r="E47" i="44"/>
  <c r="D47" i="44"/>
  <c r="C47" i="44"/>
  <c r="H45" i="44"/>
  <c r="G45" i="44"/>
  <c r="F45" i="44"/>
  <c r="F44" i="44" s="1"/>
  <c r="E45" i="44"/>
  <c r="E44" i="44" s="1"/>
  <c r="D45" i="44"/>
  <c r="C45" i="44"/>
  <c r="H42" i="44"/>
  <c r="G42" i="44"/>
  <c r="F42" i="44"/>
  <c r="E42" i="44"/>
  <c r="E40" i="44" s="1"/>
  <c r="D42" i="44"/>
  <c r="D40" i="44" s="1"/>
  <c r="C42" i="44"/>
  <c r="H21" i="44"/>
  <c r="H41" i="44" s="1"/>
  <c r="G21" i="44"/>
  <c r="G20" i="44" s="1"/>
  <c r="F21" i="44"/>
  <c r="F41" i="44" s="1"/>
  <c r="E21" i="44"/>
  <c r="E41" i="44" s="1"/>
  <c r="D21" i="44"/>
  <c r="D41" i="44" s="1"/>
  <c r="C21" i="44"/>
  <c r="C20" i="44" s="1"/>
  <c r="H40" i="44"/>
  <c r="H38" i="44"/>
  <c r="G38" i="44"/>
  <c r="F38" i="44"/>
  <c r="E38" i="44"/>
  <c r="D38" i="44"/>
  <c r="C38" i="44"/>
  <c r="H35" i="44"/>
  <c r="G35" i="44"/>
  <c r="F35" i="44"/>
  <c r="E35" i="44"/>
  <c r="D35" i="44"/>
  <c r="C35" i="44"/>
  <c r="H34" i="44"/>
  <c r="G34" i="44"/>
  <c r="F34" i="44"/>
  <c r="E34" i="44"/>
  <c r="D34" i="44"/>
  <c r="C34" i="44"/>
  <c r="H32" i="44"/>
  <c r="G32" i="44"/>
  <c r="F32" i="44"/>
  <c r="E32" i="44"/>
  <c r="D32" i="44"/>
  <c r="C32" i="44"/>
  <c r="H31" i="44"/>
  <c r="G31" i="44"/>
  <c r="F31" i="44"/>
  <c r="F30" i="44" s="1"/>
  <c r="E31" i="44"/>
  <c r="D31" i="44"/>
  <c r="C31" i="44"/>
  <c r="H30" i="44"/>
  <c r="G30" i="44"/>
  <c r="E30" i="44"/>
  <c r="D30" i="44"/>
  <c r="C30" i="44"/>
  <c r="H28" i="44"/>
  <c r="G28" i="44"/>
  <c r="F28" i="44"/>
  <c r="E28" i="44"/>
  <c r="D28" i="44"/>
  <c r="C28" i="44"/>
  <c r="H26" i="44"/>
  <c r="G26" i="44"/>
  <c r="F26" i="44"/>
  <c r="E26" i="44"/>
  <c r="D26" i="44"/>
  <c r="D24" i="44" s="1"/>
  <c r="C26" i="44"/>
  <c r="H25" i="44"/>
  <c r="G25" i="44"/>
  <c r="F25" i="44"/>
  <c r="F24" i="44" s="1"/>
  <c r="E25" i="44"/>
  <c r="D25" i="44"/>
  <c r="C25" i="44"/>
  <c r="H24" i="44"/>
  <c r="G24" i="44"/>
  <c r="E24" i="44"/>
  <c r="C24" i="44"/>
  <c r="H22" i="44"/>
  <c r="G22" i="44"/>
  <c r="F22" i="44"/>
  <c r="F20" i="44" s="1"/>
  <c r="E22" i="44"/>
  <c r="D22" i="44"/>
  <c r="C22" i="44"/>
  <c r="H20" i="44"/>
  <c r="D20" i="44"/>
  <c r="H17" i="44"/>
  <c r="G17" i="44"/>
  <c r="F17" i="44"/>
  <c r="E17" i="44"/>
  <c r="D17" i="44"/>
  <c r="C17" i="44"/>
  <c r="H15" i="44"/>
  <c r="G15" i="44"/>
  <c r="F15" i="44"/>
  <c r="E15" i="44"/>
  <c r="D15" i="44"/>
  <c r="C15" i="44"/>
  <c r="H14" i="44"/>
  <c r="G14" i="44"/>
  <c r="F14" i="44"/>
  <c r="E14" i="44"/>
  <c r="D14" i="44"/>
  <c r="C14" i="44"/>
  <c r="H13" i="44"/>
  <c r="G13" i="44"/>
  <c r="F13" i="44"/>
  <c r="E13" i="44"/>
  <c r="D13" i="44"/>
  <c r="C13" i="44"/>
  <c r="H11" i="44"/>
  <c r="G11" i="44"/>
  <c r="F11" i="44"/>
  <c r="G10" i="44" s="1"/>
  <c r="E11" i="44"/>
  <c r="D11" i="44"/>
  <c r="E10" i="44" s="1"/>
  <c r="C11" i="44"/>
  <c r="H10" i="44"/>
  <c r="D10" i="44"/>
  <c r="C10" i="30"/>
  <c r="C14" i="29"/>
  <c r="B13" i="41" s="1"/>
  <c r="C13" i="41" s="1"/>
  <c r="B18" i="41"/>
  <c r="B24" i="41"/>
  <c r="C24" i="41" s="1"/>
  <c r="B26" i="41"/>
  <c r="B27" i="41"/>
  <c r="C14" i="41"/>
  <c r="C15" i="41"/>
  <c r="C16" i="41"/>
  <c r="C17" i="41"/>
  <c r="C22" i="41"/>
  <c r="C23" i="41"/>
  <c r="C25" i="41"/>
  <c r="C26" i="41"/>
  <c r="C27" i="41"/>
  <c r="C9" i="28"/>
  <c r="O9" i="12"/>
  <c r="C16" i="30"/>
  <c r="C20" i="30" s="1"/>
  <c r="C39" i="30" s="1"/>
  <c r="C46" i="30" s="1"/>
  <c r="C9" i="40" s="1"/>
  <c r="C18" i="30"/>
  <c r="C37" i="30"/>
  <c r="C41" i="30"/>
  <c r="C44" i="30"/>
  <c r="D16" i="30"/>
  <c r="D20" i="30" s="1"/>
  <c r="D18" i="30"/>
  <c r="D10" i="30"/>
  <c r="D23" i="30"/>
  <c r="E23" i="30" s="1"/>
  <c r="D25" i="30"/>
  <c r="D26" i="30"/>
  <c r="D27" i="30"/>
  <c r="D28" i="30"/>
  <c r="E28" i="30" s="1"/>
  <c r="F28" i="30" s="1"/>
  <c r="G28" i="30" s="1"/>
  <c r="D29" i="30"/>
  <c r="D30" i="30"/>
  <c r="D31" i="30"/>
  <c r="D32" i="30"/>
  <c r="E32" i="30" s="1"/>
  <c r="F32" i="30" s="1"/>
  <c r="D34" i="30"/>
  <c r="D35" i="30"/>
  <c r="D32" i="22"/>
  <c r="E32" i="22" s="1"/>
  <c r="D37" i="22"/>
  <c r="D30" i="40" s="1"/>
  <c r="E16" i="30"/>
  <c r="E18" i="30"/>
  <c r="E20" i="30"/>
  <c r="E10" i="30"/>
  <c r="E25" i="30"/>
  <c r="E26" i="30"/>
  <c r="S26" i="30" s="1"/>
  <c r="E27" i="30"/>
  <c r="E29" i="30"/>
  <c r="F29" i="30" s="1"/>
  <c r="E30" i="30"/>
  <c r="E31" i="30"/>
  <c r="E34" i="30"/>
  <c r="E35" i="30"/>
  <c r="E37" i="22"/>
  <c r="E30" i="40" s="1"/>
  <c r="F16" i="30"/>
  <c r="F18" i="30"/>
  <c r="F10" i="30"/>
  <c r="F25" i="30"/>
  <c r="F26" i="30"/>
  <c r="F27" i="30"/>
  <c r="F31" i="30"/>
  <c r="F34" i="30"/>
  <c r="F32" i="22"/>
  <c r="F37" i="22"/>
  <c r="F30" i="40" s="1"/>
  <c r="G16" i="30"/>
  <c r="G18" i="30"/>
  <c r="G20" i="30"/>
  <c r="G10" i="30"/>
  <c r="G24" i="30" s="1"/>
  <c r="G32" i="30"/>
  <c r="U32" i="30" s="1"/>
  <c r="G34" i="30"/>
  <c r="G37" i="22"/>
  <c r="G30" i="40" s="1"/>
  <c r="H16" i="30"/>
  <c r="H20" i="30" s="1"/>
  <c r="H18" i="30"/>
  <c r="H10" i="30"/>
  <c r="I16" i="30"/>
  <c r="I18" i="30"/>
  <c r="I20" i="30" s="1"/>
  <c r="I10" i="30"/>
  <c r="J16" i="30"/>
  <c r="J18" i="30"/>
  <c r="J20" i="30"/>
  <c r="J10" i="30"/>
  <c r="K16" i="30"/>
  <c r="K18" i="30"/>
  <c r="K10" i="30"/>
  <c r="L16" i="30"/>
  <c r="L20" i="30" s="1"/>
  <c r="L18" i="30"/>
  <c r="L10" i="30"/>
  <c r="M16" i="30"/>
  <c r="M18" i="30"/>
  <c r="M10" i="30"/>
  <c r="M23" i="30"/>
  <c r="N16" i="30"/>
  <c r="N18" i="30"/>
  <c r="N10" i="30"/>
  <c r="O43" i="12"/>
  <c r="O44" i="12"/>
  <c r="C45" i="12"/>
  <c r="O51" i="12"/>
  <c r="O53" i="12" s="1"/>
  <c r="O52" i="12"/>
  <c r="C58" i="12"/>
  <c r="D58" i="12"/>
  <c r="E58" i="12"/>
  <c r="F58" i="12"/>
  <c r="G58" i="12"/>
  <c r="H58" i="12"/>
  <c r="I58" i="12"/>
  <c r="J58" i="12"/>
  <c r="L58" i="12"/>
  <c r="D59" i="12"/>
  <c r="E59" i="12"/>
  <c r="F59" i="12"/>
  <c r="G59" i="12"/>
  <c r="H59" i="12"/>
  <c r="I59" i="12"/>
  <c r="J59" i="12"/>
  <c r="L59" i="12"/>
  <c r="C60" i="12"/>
  <c r="D60" i="12"/>
  <c r="E60" i="12"/>
  <c r="G60" i="12"/>
  <c r="H60" i="12"/>
  <c r="I60" i="12"/>
  <c r="J60" i="12"/>
  <c r="K60" i="12"/>
  <c r="L60" i="12"/>
  <c r="M60" i="12"/>
  <c r="N60" i="12"/>
  <c r="D61" i="12"/>
  <c r="E61" i="12"/>
  <c r="H61" i="12"/>
  <c r="I61" i="12"/>
  <c r="J61" i="12"/>
  <c r="L61" i="12"/>
  <c r="M61" i="12"/>
  <c r="N61" i="12"/>
  <c r="O62" i="12"/>
  <c r="O63" i="12"/>
  <c r="O64" i="12"/>
  <c r="D65" i="12"/>
  <c r="D33" i="22"/>
  <c r="D19" i="40" s="1"/>
  <c r="D13" i="22"/>
  <c r="D66" i="12"/>
  <c r="E33" i="22"/>
  <c r="E19" i="40" s="1"/>
  <c r="F33" i="22"/>
  <c r="Q13" i="30"/>
  <c r="Q16" i="30" s="1"/>
  <c r="Q23" i="30"/>
  <c r="Q24" i="30"/>
  <c r="Q25" i="30"/>
  <c r="Q26" i="30"/>
  <c r="Q27" i="30"/>
  <c r="Q28" i="30"/>
  <c r="Q29" i="30"/>
  <c r="Q30" i="30"/>
  <c r="Q31" i="30"/>
  <c r="Q32" i="30"/>
  <c r="Q34" i="30"/>
  <c r="Q35" i="30"/>
  <c r="R13" i="30"/>
  <c r="R16" i="30"/>
  <c r="R18" i="30"/>
  <c r="R20" i="30" s="1"/>
  <c r="R23" i="30"/>
  <c r="R24" i="30"/>
  <c r="R25" i="30"/>
  <c r="R26" i="30"/>
  <c r="R27" i="30"/>
  <c r="R28" i="30"/>
  <c r="R29" i="30"/>
  <c r="R30" i="30"/>
  <c r="R31" i="30"/>
  <c r="R32" i="30"/>
  <c r="R34" i="30"/>
  <c r="R35" i="30"/>
  <c r="S13" i="30"/>
  <c r="S16" i="30"/>
  <c r="S18" i="30"/>
  <c r="S24" i="30"/>
  <c r="S25" i="30"/>
  <c r="S27" i="30"/>
  <c r="S28" i="30"/>
  <c r="S29" i="30"/>
  <c r="S31" i="30"/>
  <c r="S32" i="30"/>
  <c r="S34" i="30"/>
  <c r="T13" i="30"/>
  <c r="T16" i="30"/>
  <c r="T18" i="30"/>
  <c r="T23" i="30"/>
  <c r="T24" i="30"/>
  <c r="T25" i="30"/>
  <c r="T27" i="30"/>
  <c r="T28" i="30"/>
  <c r="T29" i="30"/>
  <c r="T31" i="30"/>
  <c r="T32" i="30"/>
  <c r="T34" i="30"/>
  <c r="U13" i="30"/>
  <c r="U16" i="30"/>
  <c r="U18" i="30"/>
  <c r="U20" i="30"/>
  <c r="U24" i="30"/>
  <c r="U34" i="30"/>
  <c r="V13" i="30"/>
  <c r="V18" i="30" s="1"/>
  <c r="V16" i="30"/>
  <c r="V20" i="30" s="1"/>
  <c r="V23" i="30"/>
  <c r="W23" i="30" s="1"/>
  <c r="V24" i="30"/>
  <c r="V11" i="29"/>
  <c r="W11" i="29" s="1"/>
  <c r="X11" i="29" s="1"/>
  <c r="I14" i="29"/>
  <c r="W14" i="29" s="1"/>
  <c r="W15" i="29"/>
  <c r="W13" i="30" s="1"/>
  <c r="W16" i="30" s="1"/>
  <c r="W33" i="30"/>
  <c r="X33" i="30" s="1"/>
  <c r="Y33" i="30" s="1"/>
  <c r="Z33" i="30" s="1"/>
  <c r="AA33" i="30" s="1"/>
  <c r="AB33" i="30" s="1"/>
  <c r="J14" i="29"/>
  <c r="X14" i="29" s="1"/>
  <c r="K14" i="29"/>
  <c r="Y14" i="29" s="1"/>
  <c r="L14" i="29"/>
  <c r="Z14" i="29" s="1"/>
  <c r="M14" i="29"/>
  <c r="AA14" i="29" s="1"/>
  <c r="N14" i="29"/>
  <c r="AB14" i="29" s="1"/>
  <c r="W43" i="12"/>
  <c r="X43" i="12"/>
  <c r="Y43" i="12"/>
  <c r="Z43" i="12"/>
  <c r="AA43" i="12"/>
  <c r="AB43" i="12"/>
  <c r="AC43" i="12"/>
  <c r="W44" i="12"/>
  <c r="X44" i="12"/>
  <c r="Y44" i="12"/>
  <c r="Z44" i="12"/>
  <c r="AA44" i="12"/>
  <c r="AB44" i="12"/>
  <c r="W51" i="12"/>
  <c r="X51" i="12"/>
  <c r="Y51" i="12"/>
  <c r="Z51" i="12"/>
  <c r="AA51" i="12"/>
  <c r="AB51" i="12"/>
  <c r="AC51" i="12"/>
  <c r="AC53" i="12" s="1"/>
  <c r="AC52" i="12"/>
  <c r="Q58" i="12"/>
  <c r="R58" i="12"/>
  <c r="S58" i="12"/>
  <c r="T58" i="12"/>
  <c r="T59" i="12" s="1"/>
  <c r="U58" i="12"/>
  <c r="V58" i="12"/>
  <c r="Q59" i="12"/>
  <c r="S59" i="12"/>
  <c r="U59" i="12"/>
  <c r="D11" i="22"/>
  <c r="E11" i="22"/>
  <c r="R60" i="12"/>
  <c r="R61" i="12" s="1"/>
  <c r="S60" i="12"/>
  <c r="T60" i="12"/>
  <c r="U60" i="12"/>
  <c r="V60" i="12"/>
  <c r="V61" i="12" s="1"/>
  <c r="S61" i="12"/>
  <c r="T61" i="12"/>
  <c r="U61" i="12"/>
  <c r="D12" i="22"/>
  <c r="E12" i="22"/>
  <c r="AC62" i="12"/>
  <c r="C41" i="22"/>
  <c r="D41" i="22" s="1"/>
  <c r="Q10" i="30"/>
  <c r="Q14" i="29" s="1"/>
  <c r="AE14" i="29" s="1"/>
  <c r="AE24" i="30"/>
  <c r="AE25" i="30"/>
  <c r="AE26" i="30"/>
  <c r="AE28" i="30"/>
  <c r="AE29" i="30"/>
  <c r="AE32" i="30"/>
  <c r="AE43" i="12"/>
  <c r="AE44" i="12"/>
  <c r="AE51" i="12"/>
  <c r="AE53" i="12"/>
  <c r="R10" i="30"/>
  <c r="R14" i="29" s="1"/>
  <c r="AF14" i="29" s="1"/>
  <c r="AF24" i="30"/>
  <c r="AF25" i="30"/>
  <c r="AF26" i="30"/>
  <c r="AF28" i="30"/>
  <c r="AF29" i="30"/>
  <c r="AF32" i="30"/>
  <c r="AF43" i="12"/>
  <c r="AF44" i="12"/>
  <c r="AF28" i="29"/>
  <c r="AF51" i="12" s="1"/>
  <c r="AF53" i="12" s="1"/>
  <c r="S10" i="30"/>
  <c r="S14" i="29"/>
  <c r="AG14" i="29" s="1"/>
  <c r="AG24" i="30"/>
  <c r="AG25" i="30"/>
  <c r="AG26" i="30"/>
  <c r="AG28" i="30"/>
  <c r="AG29" i="30"/>
  <c r="AG32" i="30"/>
  <c r="AG34" i="30"/>
  <c r="AG37" i="30"/>
  <c r="AG43" i="12"/>
  <c r="AG44" i="12"/>
  <c r="AG51" i="12"/>
  <c r="AG53" i="12"/>
  <c r="T10" i="30"/>
  <c r="T14" i="29" s="1"/>
  <c r="AH14" i="29" s="1"/>
  <c r="AH24" i="30"/>
  <c r="AH25" i="30"/>
  <c r="AH28" i="30"/>
  <c r="AH29" i="30"/>
  <c r="AH32" i="30"/>
  <c r="AH43" i="12"/>
  <c r="AH44" i="12"/>
  <c r="AH28" i="29"/>
  <c r="AH51" i="12" s="1"/>
  <c r="AH53" i="12" s="1"/>
  <c r="AH38" i="29"/>
  <c r="U10" i="30"/>
  <c r="U14" i="29"/>
  <c r="AI14" i="29" s="1"/>
  <c r="AI24" i="30"/>
  <c r="AI26" i="30"/>
  <c r="AI28" i="30"/>
  <c r="AI32" i="30"/>
  <c r="AI43" i="12"/>
  <c r="AI44" i="12"/>
  <c r="AI28" i="29"/>
  <c r="AI51" i="12"/>
  <c r="AI53" i="12" s="1"/>
  <c r="AI38" i="29"/>
  <c r="V10" i="30"/>
  <c r="V14" i="29" s="1"/>
  <c r="AJ14" i="29" s="1"/>
  <c r="AJ24" i="30"/>
  <c r="AJ34" i="30"/>
  <c r="AJ43" i="12"/>
  <c r="AJ44" i="12"/>
  <c r="AJ51" i="12"/>
  <c r="AJ53" i="12" s="1"/>
  <c r="AJ38" i="29"/>
  <c r="AK14" i="29"/>
  <c r="AK24" i="30"/>
  <c r="AK29" i="30"/>
  <c r="AK28" i="29"/>
  <c r="AK51" i="12"/>
  <c r="AK53" i="12" s="1"/>
  <c r="AK38" i="29"/>
  <c r="AL14" i="29"/>
  <c r="AL24" i="30"/>
  <c r="AL29" i="30"/>
  <c r="AL28" i="29"/>
  <c r="AL51" i="12"/>
  <c r="AL53" i="12" s="1"/>
  <c r="AL38" i="29"/>
  <c r="AM14" i="29"/>
  <c r="AM24" i="30"/>
  <c r="AM29" i="30"/>
  <c r="AM34" i="30"/>
  <c r="AM51" i="12"/>
  <c r="AM53" i="12" s="1"/>
  <c r="AM38" i="29"/>
  <c r="AN14" i="29"/>
  <c r="AN24" i="30"/>
  <c r="AN29" i="30"/>
  <c r="AN28" i="29"/>
  <c r="AN51" i="12" s="1"/>
  <c r="AN53" i="12" s="1"/>
  <c r="AN38" i="29"/>
  <c r="AO14" i="29"/>
  <c r="AO24" i="30"/>
  <c r="AO29" i="30"/>
  <c r="AO28" i="29"/>
  <c r="AO51" i="12"/>
  <c r="AO53" i="12" s="1"/>
  <c r="AO38" i="29"/>
  <c r="AP14" i="29"/>
  <c r="AP24" i="30"/>
  <c r="AP29" i="30"/>
  <c r="AP34" i="30"/>
  <c r="AP28" i="29"/>
  <c r="AP51" i="12"/>
  <c r="AP53" i="12"/>
  <c r="Q53" i="12"/>
  <c r="R53" i="12"/>
  <c r="S53" i="12"/>
  <c r="T53" i="12"/>
  <c r="U53" i="12"/>
  <c r="V53" i="12"/>
  <c r="W53" i="12"/>
  <c r="X53" i="12"/>
  <c r="Y53" i="12"/>
  <c r="Z53" i="12"/>
  <c r="AA53" i="12"/>
  <c r="AB53" i="12"/>
  <c r="C46" i="12"/>
  <c r="C53" i="12"/>
  <c r="C67" i="12"/>
  <c r="D53" i="12"/>
  <c r="D67" i="12"/>
  <c r="E53" i="12"/>
  <c r="F53" i="12"/>
  <c r="G53" i="12"/>
  <c r="H53" i="12"/>
  <c r="I53" i="12"/>
  <c r="J53" i="12"/>
  <c r="K53" i="12"/>
  <c r="L53" i="12"/>
  <c r="M53" i="12"/>
  <c r="N53" i="12"/>
  <c r="AG11" i="34"/>
  <c r="D14" i="22"/>
  <c r="E14" i="22" s="1"/>
  <c r="E16" i="34" s="1"/>
  <c r="AG27" i="34"/>
  <c r="AG31" i="34"/>
  <c r="AG14" i="43"/>
  <c r="AB11" i="34"/>
  <c r="D18" i="22"/>
  <c r="E18" i="22" s="1"/>
  <c r="F18" i="22" s="1"/>
  <c r="G18" i="22" s="1"/>
  <c r="H18" i="22" s="1"/>
  <c r="I18" i="22" s="1"/>
  <c r="J18" i="22" s="1"/>
  <c r="D19" i="22"/>
  <c r="E19" i="22" s="1"/>
  <c r="F19" i="22" s="1"/>
  <c r="G19" i="22" s="1"/>
  <c r="H19" i="22" s="1"/>
  <c r="I19" i="22" s="1"/>
  <c r="J19" i="22" s="1"/>
  <c r="K19" i="22" s="1"/>
  <c r="L19" i="22" s="1"/>
  <c r="M19" i="22" s="1"/>
  <c r="N19" i="22" s="1"/>
  <c r="Q19" i="22" s="1"/>
  <c r="R19" i="22" s="1"/>
  <c r="S19" i="22" s="1"/>
  <c r="T19" i="22" s="1"/>
  <c r="U19" i="22" s="1"/>
  <c r="V19" i="22" s="1"/>
  <c r="W19" i="22" s="1"/>
  <c r="X19" i="22" s="1"/>
  <c r="Y19" i="22" s="1"/>
  <c r="Z19" i="22" s="1"/>
  <c r="AA19" i="22" s="1"/>
  <c r="AB19" i="22" s="1"/>
  <c r="AE19" i="22" s="1"/>
  <c r="AF19" i="22" s="1"/>
  <c r="AB31" i="34"/>
  <c r="AB14" i="43" s="1"/>
  <c r="K11" i="34"/>
  <c r="G30" i="34"/>
  <c r="F18" i="34"/>
  <c r="F15" i="43" s="1"/>
  <c r="F30" i="34"/>
  <c r="E18" i="34"/>
  <c r="E30" i="34"/>
  <c r="D18" i="34"/>
  <c r="D30" i="34"/>
  <c r="D15" i="43"/>
  <c r="C15" i="43"/>
  <c r="AP31" i="34"/>
  <c r="AP14" i="43"/>
  <c r="AO31" i="34"/>
  <c r="AO14" i="43" s="1"/>
  <c r="AN31" i="34"/>
  <c r="AN14" i="43"/>
  <c r="AM31" i="34"/>
  <c r="AM14" i="43" s="1"/>
  <c r="AL31" i="34"/>
  <c r="AL14" i="43"/>
  <c r="AK31" i="34"/>
  <c r="AK14" i="43" s="1"/>
  <c r="AJ31" i="34"/>
  <c r="AJ14" i="43"/>
  <c r="AI31" i="34"/>
  <c r="AI14" i="43" s="1"/>
  <c r="AH31" i="34"/>
  <c r="AH14" i="43"/>
  <c r="AF31" i="34"/>
  <c r="AF14" i="43" s="1"/>
  <c r="AQ14" i="43" s="1"/>
  <c r="AE31" i="34"/>
  <c r="AE14" i="43"/>
  <c r="AA31" i="34"/>
  <c r="AA14" i="43"/>
  <c r="Z31" i="34"/>
  <c r="Z14" i="43"/>
  <c r="Y31" i="34"/>
  <c r="Y14" i="43" s="1"/>
  <c r="X31" i="34"/>
  <c r="X14" i="43" s="1"/>
  <c r="W31" i="34"/>
  <c r="W14" i="43" s="1"/>
  <c r="D31" i="34"/>
  <c r="D14" i="43"/>
  <c r="C14" i="43"/>
  <c r="C13" i="43"/>
  <c r="AO11" i="34"/>
  <c r="AG19" i="22"/>
  <c r="AH19" i="22" s="1"/>
  <c r="AI19" i="22" s="1"/>
  <c r="AJ19" i="22" s="1"/>
  <c r="AK19" i="22" s="1"/>
  <c r="AL19" i="22" s="1"/>
  <c r="AM19" i="22" s="1"/>
  <c r="AN19" i="22" s="1"/>
  <c r="AO19" i="22" s="1"/>
  <c r="AK11" i="34"/>
  <c r="Y11" i="34"/>
  <c r="X11" i="34"/>
  <c r="U11" i="34"/>
  <c r="T11" i="34"/>
  <c r="L11" i="34"/>
  <c r="H11" i="34"/>
  <c r="G20" i="22"/>
  <c r="H20" i="22"/>
  <c r="I24" i="40" s="1"/>
  <c r="G11" i="34"/>
  <c r="F20" i="22"/>
  <c r="G24" i="40" s="1"/>
  <c r="E13" i="34"/>
  <c r="E12" i="43" s="1"/>
  <c r="D13" i="34"/>
  <c r="D12" i="43"/>
  <c r="D11" i="34"/>
  <c r="D14" i="34"/>
  <c r="D15" i="34"/>
  <c r="D16" i="34"/>
  <c r="D19" i="34"/>
  <c r="C20" i="22"/>
  <c r="D24" i="40" s="1"/>
  <c r="D20" i="22"/>
  <c r="E24" i="40" s="1"/>
  <c r="D33" i="34"/>
  <c r="C12" i="43"/>
  <c r="Z11" i="34"/>
  <c r="V11" i="34"/>
  <c r="R11" i="34"/>
  <c r="M11" i="34"/>
  <c r="I11" i="34"/>
  <c r="I20" i="22"/>
  <c r="E11" i="34"/>
  <c r="E14" i="34"/>
  <c r="E19" i="34"/>
  <c r="E20" i="22"/>
  <c r="C9" i="34"/>
  <c r="C11" i="43" s="1"/>
  <c r="AN11" i="34"/>
  <c r="AM11" i="34"/>
  <c r="AM27" i="34"/>
  <c r="AL11" i="34"/>
  <c r="AJ11" i="34"/>
  <c r="AJ27" i="34"/>
  <c r="AI11" i="34"/>
  <c r="AH11" i="34"/>
  <c r="AF11" i="34"/>
  <c r="AE11" i="34"/>
  <c r="AE27" i="34"/>
  <c r="AA11" i="34"/>
  <c r="W11" i="34"/>
  <c r="S11" i="34"/>
  <c r="Q11" i="34"/>
  <c r="N11" i="34"/>
  <c r="J11" i="34"/>
  <c r="F11" i="34"/>
  <c r="F19" i="34"/>
  <c r="F24" i="34"/>
  <c r="F27" i="34" s="1"/>
  <c r="C11" i="34"/>
  <c r="C27" i="34"/>
  <c r="C33" i="34"/>
  <c r="C38" i="34"/>
  <c r="C9" i="43"/>
  <c r="A1" i="43"/>
  <c r="D45" i="42"/>
  <c r="D44" i="42" s="1"/>
  <c r="D42" i="42"/>
  <c r="C45" i="42"/>
  <c r="C44" i="42" s="1"/>
  <c r="C42" i="42"/>
  <c r="S21" i="42"/>
  <c r="S41" i="42"/>
  <c r="F42" i="42"/>
  <c r="E42" i="42"/>
  <c r="W21" i="42"/>
  <c r="W41" i="42" s="1"/>
  <c r="W42" i="42" s="1"/>
  <c r="W45" i="42" s="1"/>
  <c r="T21" i="42"/>
  <c r="T41" i="42" s="1"/>
  <c r="L13" i="21"/>
  <c r="M13" i="21"/>
  <c r="N21" i="42" s="1"/>
  <c r="N41" i="42" s="1"/>
  <c r="K13" i="21"/>
  <c r="M21" i="42"/>
  <c r="M41" i="42"/>
  <c r="H13" i="21"/>
  <c r="I13" i="21"/>
  <c r="J21" i="42"/>
  <c r="J41" i="42"/>
  <c r="G13" i="21"/>
  <c r="I21" i="42"/>
  <c r="I41" i="42"/>
  <c r="D13" i="21"/>
  <c r="F21" i="42" s="1"/>
  <c r="F41" i="42" s="1"/>
  <c r="F40" i="42" s="1"/>
  <c r="E13" i="21"/>
  <c r="C13" i="21"/>
  <c r="E21" i="42" s="1"/>
  <c r="E41" i="42" s="1"/>
  <c r="E40" i="42"/>
  <c r="AH38" i="42"/>
  <c r="AI38" i="42" s="1"/>
  <c r="AJ38" i="42" s="1"/>
  <c r="AK38" i="42" s="1"/>
  <c r="AL38" i="42" s="1"/>
  <c r="AM38" i="42" s="1"/>
  <c r="AN38" i="42" s="1"/>
  <c r="AO38" i="42" s="1"/>
  <c r="V38" i="42"/>
  <c r="U38" i="42"/>
  <c r="T38" i="42"/>
  <c r="S38" i="42"/>
  <c r="R38" i="42"/>
  <c r="Q38" i="42"/>
  <c r="N38" i="42"/>
  <c r="M38" i="42"/>
  <c r="L38" i="42"/>
  <c r="K38" i="42"/>
  <c r="J38" i="42"/>
  <c r="I38" i="42"/>
  <c r="H38" i="42"/>
  <c r="G38" i="42"/>
  <c r="F38" i="42"/>
  <c r="E38" i="42"/>
  <c r="D38" i="42"/>
  <c r="C38" i="42"/>
  <c r="O38" i="42"/>
  <c r="V35" i="42"/>
  <c r="U35" i="42"/>
  <c r="T35" i="42"/>
  <c r="S35" i="42"/>
  <c r="R35" i="42"/>
  <c r="Q35" i="42"/>
  <c r="AC35" i="42"/>
  <c r="N35" i="42"/>
  <c r="M35" i="42"/>
  <c r="L35" i="42"/>
  <c r="K35" i="42"/>
  <c r="J35" i="42"/>
  <c r="I35" i="42"/>
  <c r="H35" i="42"/>
  <c r="G35" i="42"/>
  <c r="F35" i="42"/>
  <c r="E35" i="42"/>
  <c r="D35" i="42"/>
  <c r="C35" i="42"/>
  <c r="O35" i="42" s="1"/>
  <c r="V34" i="42"/>
  <c r="U34" i="42"/>
  <c r="T34" i="42"/>
  <c r="S34" i="42"/>
  <c r="Q34" i="42"/>
  <c r="R34" i="42"/>
  <c r="AC34" i="42"/>
  <c r="N34" i="42"/>
  <c r="M34" i="42"/>
  <c r="L34" i="42"/>
  <c r="K34" i="42"/>
  <c r="J34" i="42"/>
  <c r="I34" i="42"/>
  <c r="H34" i="42"/>
  <c r="G34" i="42"/>
  <c r="F34" i="42"/>
  <c r="E34" i="42"/>
  <c r="D34" i="42"/>
  <c r="C34" i="42"/>
  <c r="C32" i="42"/>
  <c r="L18" i="21"/>
  <c r="M18" i="21"/>
  <c r="L24" i="21"/>
  <c r="M24" i="21"/>
  <c r="L33" i="21"/>
  <c r="M33" i="21"/>
  <c r="K18" i="21"/>
  <c r="M25" i="42" s="1"/>
  <c r="K24" i="21"/>
  <c r="K33" i="21"/>
  <c r="J18" i="21"/>
  <c r="J24" i="21"/>
  <c r="J33" i="21"/>
  <c r="I18" i="21"/>
  <c r="I24" i="21"/>
  <c r="I33" i="21"/>
  <c r="H18" i="21"/>
  <c r="H24" i="21"/>
  <c r="H33" i="21"/>
  <c r="G18" i="21"/>
  <c r="G24" i="21"/>
  <c r="G28" i="21"/>
  <c r="G32" i="21"/>
  <c r="G33" i="21"/>
  <c r="G34" i="21"/>
  <c r="F18" i="21"/>
  <c r="F24" i="21"/>
  <c r="F25" i="21"/>
  <c r="F26" i="21"/>
  <c r="F27" i="21"/>
  <c r="F28" i="21"/>
  <c r="F29" i="21"/>
  <c r="F31" i="21"/>
  <c r="F32" i="21"/>
  <c r="F33" i="21"/>
  <c r="F34" i="21"/>
  <c r="E18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D18" i="21"/>
  <c r="D24" i="21"/>
  <c r="D25" i="21"/>
  <c r="F31" i="42" s="1"/>
  <c r="D26" i="21"/>
  <c r="D27" i="21"/>
  <c r="D28" i="21"/>
  <c r="D29" i="21"/>
  <c r="D30" i="21"/>
  <c r="D31" i="21"/>
  <c r="D32" i="21"/>
  <c r="D33" i="21"/>
  <c r="D34" i="21"/>
  <c r="D35" i="21"/>
  <c r="C18" i="21"/>
  <c r="E25" i="42" s="1"/>
  <c r="E24" i="42" s="1"/>
  <c r="C24" i="21"/>
  <c r="C25" i="21"/>
  <c r="C26" i="21"/>
  <c r="C27" i="21"/>
  <c r="C28" i="21"/>
  <c r="C29" i="21"/>
  <c r="C30" i="21"/>
  <c r="C31" i="21"/>
  <c r="C32" i="21"/>
  <c r="C33" i="21"/>
  <c r="C34" i="21"/>
  <c r="C35" i="21"/>
  <c r="AP28" i="42"/>
  <c r="AO28" i="42"/>
  <c r="AN28" i="42"/>
  <c r="AL28" i="42"/>
  <c r="AK28" i="42"/>
  <c r="AI28" i="42"/>
  <c r="AH28" i="42"/>
  <c r="AQ28" i="42" s="1"/>
  <c r="AF28" i="42"/>
  <c r="V28" i="42"/>
  <c r="U28" i="42"/>
  <c r="T28" i="42"/>
  <c r="S28" i="42"/>
  <c r="R28" i="42"/>
  <c r="Q28" i="42"/>
  <c r="N28" i="42"/>
  <c r="M28" i="42"/>
  <c r="L28" i="42"/>
  <c r="K28" i="42"/>
  <c r="J28" i="42"/>
  <c r="I28" i="42"/>
  <c r="H28" i="42"/>
  <c r="G28" i="42"/>
  <c r="F28" i="42"/>
  <c r="E28" i="42"/>
  <c r="D28" i="42"/>
  <c r="C28" i="42"/>
  <c r="E26" i="42"/>
  <c r="D26" i="42"/>
  <c r="C26" i="42"/>
  <c r="U18" i="21"/>
  <c r="V25" i="42" s="1"/>
  <c r="V18" i="21"/>
  <c r="T18" i="21"/>
  <c r="T25" i="42" s="1"/>
  <c r="U25" i="42"/>
  <c r="S18" i="21"/>
  <c r="R18" i="21"/>
  <c r="S25" i="42"/>
  <c r="N18" i="21"/>
  <c r="Q25" i="42"/>
  <c r="N25" i="42"/>
  <c r="L25" i="42"/>
  <c r="K25" i="42"/>
  <c r="J25" i="42"/>
  <c r="I25" i="42"/>
  <c r="H25" i="42"/>
  <c r="G25" i="42"/>
  <c r="F25" i="42"/>
  <c r="E22" i="42"/>
  <c r="D22" i="42"/>
  <c r="C22" i="42"/>
  <c r="W22" i="42"/>
  <c r="V21" i="42"/>
  <c r="V41" i="42"/>
  <c r="U21" i="42"/>
  <c r="U41" i="42"/>
  <c r="R21" i="42"/>
  <c r="R41" i="42" s="1"/>
  <c r="Q21" i="42"/>
  <c r="Q41" i="42" s="1"/>
  <c r="J13" i="21"/>
  <c r="L21" i="42"/>
  <c r="L41" i="42" s="1"/>
  <c r="K21" i="42"/>
  <c r="K41" i="42"/>
  <c r="F13" i="21"/>
  <c r="H21" i="42"/>
  <c r="H41" i="42" s="1"/>
  <c r="G21" i="42"/>
  <c r="G41" i="42"/>
  <c r="E20" i="42"/>
  <c r="V21" i="30"/>
  <c r="V17" i="42"/>
  <c r="U21" i="30"/>
  <c r="U17" i="42" s="1"/>
  <c r="R21" i="30"/>
  <c r="R17" i="42"/>
  <c r="L21" i="30"/>
  <c r="L17" i="42"/>
  <c r="J21" i="30"/>
  <c r="J17" i="42"/>
  <c r="I21" i="30"/>
  <c r="I17" i="42"/>
  <c r="H21" i="30"/>
  <c r="H17" i="42"/>
  <c r="G21" i="30"/>
  <c r="G17" i="42"/>
  <c r="E21" i="30"/>
  <c r="E17" i="42"/>
  <c r="D21" i="30"/>
  <c r="D17" i="42"/>
  <c r="C21" i="30"/>
  <c r="C17" i="42"/>
  <c r="V15" i="42"/>
  <c r="U15" i="42"/>
  <c r="T15" i="42"/>
  <c r="S15" i="42"/>
  <c r="R15" i="42"/>
  <c r="Q15" i="42"/>
  <c r="N15" i="42"/>
  <c r="M15" i="42"/>
  <c r="L15" i="42"/>
  <c r="K15" i="42"/>
  <c r="J15" i="42"/>
  <c r="I15" i="42"/>
  <c r="H15" i="42"/>
  <c r="G15" i="42"/>
  <c r="F15" i="42"/>
  <c r="E15" i="42"/>
  <c r="D15" i="42"/>
  <c r="C15" i="42"/>
  <c r="O15" i="42"/>
  <c r="J14" i="42"/>
  <c r="X14" i="42" s="1"/>
  <c r="AL14" i="42" s="1"/>
  <c r="T14" i="42"/>
  <c r="AH14" i="42" s="1"/>
  <c r="N14" i="42"/>
  <c r="AB14" i="42" s="1"/>
  <c r="AP14" i="42" s="1"/>
  <c r="V14" i="42"/>
  <c r="AJ14" i="42" s="1"/>
  <c r="U14" i="42"/>
  <c r="AI14" i="42"/>
  <c r="S14" i="42"/>
  <c r="AG14" i="42" s="1"/>
  <c r="R14" i="42"/>
  <c r="AF14" i="42"/>
  <c r="Q14" i="42"/>
  <c r="AE14" i="42" s="1"/>
  <c r="M14" i="42"/>
  <c r="AA14" i="42"/>
  <c r="AO14" i="42" s="1"/>
  <c r="L14" i="42"/>
  <c r="Z14" i="42"/>
  <c r="AN14" i="42"/>
  <c r="K14" i="42"/>
  <c r="Y14" i="42" s="1"/>
  <c r="AM14" i="42" s="1"/>
  <c r="I14" i="42"/>
  <c r="W14" i="42" s="1"/>
  <c r="AK14" i="42" s="1"/>
  <c r="H14" i="42"/>
  <c r="G14" i="42"/>
  <c r="F14" i="42"/>
  <c r="E14" i="42"/>
  <c r="D14" i="42"/>
  <c r="C14" i="42"/>
  <c r="V13" i="42"/>
  <c r="U13" i="42"/>
  <c r="T13" i="42"/>
  <c r="S13" i="42"/>
  <c r="R13" i="42"/>
  <c r="Q13" i="42"/>
  <c r="V11" i="42"/>
  <c r="W11" i="42"/>
  <c r="X11" i="42" s="1"/>
  <c r="X15" i="42" s="1"/>
  <c r="U11" i="42"/>
  <c r="V10" i="42"/>
  <c r="T11" i="42"/>
  <c r="T10" i="42" s="1"/>
  <c r="S11" i="42"/>
  <c r="R11" i="42"/>
  <c r="R10" i="42" s="1"/>
  <c r="Q11" i="42"/>
  <c r="H11" i="42"/>
  <c r="G11" i="42"/>
  <c r="G10" i="42" s="1"/>
  <c r="F11" i="42"/>
  <c r="E11" i="42"/>
  <c r="D11" i="42"/>
  <c r="C11" i="42"/>
  <c r="AQ10" i="42"/>
  <c r="F10" i="42"/>
  <c r="E10" i="42"/>
  <c r="A1" i="42"/>
  <c r="O32" i="41"/>
  <c r="P32" i="41"/>
  <c r="Q32" i="41"/>
  <c r="I25" i="41"/>
  <c r="I32" i="41" s="1"/>
  <c r="G25" i="41"/>
  <c r="G24" i="41"/>
  <c r="M24" i="41" s="1"/>
  <c r="G23" i="41"/>
  <c r="E23" i="41"/>
  <c r="G22" i="41"/>
  <c r="M22" i="41" s="1"/>
  <c r="G18" i="41"/>
  <c r="L18" i="41"/>
  <c r="G17" i="41"/>
  <c r="E17" i="41"/>
  <c r="G16" i="41"/>
  <c r="M16" i="41"/>
  <c r="G15" i="41"/>
  <c r="M15" i="41" s="1"/>
  <c r="G14" i="41"/>
  <c r="L14" i="41"/>
  <c r="G13" i="41"/>
  <c r="Q11" i="40"/>
  <c r="W11" i="40" s="1"/>
  <c r="R11" i="40"/>
  <c r="S11" i="40"/>
  <c r="T11" i="40"/>
  <c r="U11" i="40"/>
  <c r="V11" i="40"/>
  <c r="I27" i="40"/>
  <c r="G27" i="40"/>
  <c r="E27" i="40"/>
  <c r="D27" i="40"/>
  <c r="C21" i="40"/>
  <c r="C36" i="40" s="1"/>
  <c r="C40" i="40" s="1"/>
  <c r="D38" i="40" s="1"/>
  <c r="C27" i="40"/>
  <c r="C33" i="40"/>
  <c r="O11" i="34"/>
  <c r="O38" i="34"/>
  <c r="AA31" i="40"/>
  <c r="AQ31" i="40"/>
  <c r="AP31" i="40"/>
  <c r="AO31" i="40"/>
  <c r="AN31" i="40"/>
  <c r="AM31" i="40"/>
  <c r="AL31" i="40"/>
  <c r="AK31" i="40"/>
  <c r="AJ31" i="40"/>
  <c r="AI31" i="40"/>
  <c r="AH31" i="40"/>
  <c r="AG31" i="40"/>
  <c r="AF31" i="40"/>
  <c r="AC31" i="40"/>
  <c r="AB31" i="40"/>
  <c r="Z31" i="40"/>
  <c r="Y31" i="40"/>
  <c r="X31" i="40"/>
  <c r="AN27" i="40"/>
  <c r="AK27" i="40"/>
  <c r="AH27" i="40"/>
  <c r="AF27" i="40"/>
  <c r="AP19" i="22"/>
  <c r="AQ11" i="40"/>
  <c r="AP11" i="40"/>
  <c r="AO11" i="40"/>
  <c r="AN11" i="40"/>
  <c r="AM11" i="40"/>
  <c r="AL11" i="40"/>
  <c r="AK11" i="40"/>
  <c r="AJ11" i="40"/>
  <c r="AI11" i="40"/>
  <c r="AH11" i="40"/>
  <c r="AG11" i="40"/>
  <c r="AF11" i="40"/>
  <c r="AC11" i="40"/>
  <c r="AB11" i="40"/>
  <c r="AA11" i="40"/>
  <c r="Z11" i="40"/>
  <c r="Y11" i="40"/>
  <c r="X11" i="40"/>
  <c r="A1" i="40"/>
  <c r="C41" i="39"/>
  <c r="C43" i="39"/>
  <c r="C34" i="39"/>
  <c r="C45" i="39"/>
  <c r="D41" i="39"/>
  <c r="E41" i="39" s="1"/>
  <c r="F41" i="39" s="1"/>
  <c r="G41" i="39" s="1"/>
  <c r="H41" i="39"/>
  <c r="I41" i="39" s="1"/>
  <c r="J41" i="39" s="1"/>
  <c r="K41" i="39" s="1"/>
  <c r="L41" i="39" s="1"/>
  <c r="M41" i="39" s="1"/>
  <c r="N41" i="39" s="1"/>
  <c r="Q41" i="39" s="1"/>
  <c r="R41" i="39" s="1"/>
  <c r="S41" i="39" s="1"/>
  <c r="T41" i="39" s="1"/>
  <c r="U41" i="39" s="1"/>
  <c r="V41" i="39" s="1"/>
  <c r="W41" i="39" s="1"/>
  <c r="X41" i="39" s="1"/>
  <c r="Y41" i="39" s="1"/>
  <c r="Z41" i="39" s="1"/>
  <c r="AA41" i="39" s="1"/>
  <c r="AB41" i="39" s="1"/>
  <c r="AE41" i="39" s="1"/>
  <c r="AF41" i="39" s="1"/>
  <c r="AG41" i="39" s="1"/>
  <c r="AH41" i="39" s="1"/>
  <c r="AI41" i="39" s="1"/>
  <c r="AJ41" i="39" s="1"/>
  <c r="AK41" i="39" s="1"/>
  <c r="AL41" i="39" s="1"/>
  <c r="AM41" i="39" s="1"/>
  <c r="AN41" i="39" s="1"/>
  <c r="AO41" i="39" s="1"/>
  <c r="AP41" i="39" s="1"/>
  <c r="D40" i="39"/>
  <c r="E40" i="39"/>
  <c r="D37" i="39"/>
  <c r="E37" i="39" s="1"/>
  <c r="F37" i="39" s="1"/>
  <c r="G37" i="39" s="1"/>
  <c r="H37" i="39" s="1"/>
  <c r="I37" i="39" s="1"/>
  <c r="J37" i="39" s="1"/>
  <c r="K37" i="39" s="1"/>
  <c r="L37" i="39" s="1"/>
  <c r="M37" i="39" s="1"/>
  <c r="N37" i="39" s="1"/>
  <c r="Q37" i="39" s="1"/>
  <c r="R37" i="39" s="1"/>
  <c r="S37" i="39" s="1"/>
  <c r="T37" i="39" s="1"/>
  <c r="U37" i="39" s="1"/>
  <c r="V37" i="39" s="1"/>
  <c r="W37" i="39" s="1"/>
  <c r="X37" i="39" s="1"/>
  <c r="Y37" i="39" s="1"/>
  <c r="Z37" i="39" s="1"/>
  <c r="AA37" i="39" s="1"/>
  <c r="AB37" i="39" s="1"/>
  <c r="AE37" i="39" s="1"/>
  <c r="AF37" i="39" s="1"/>
  <c r="AG37" i="39" s="1"/>
  <c r="AH37" i="39" s="1"/>
  <c r="AI37" i="39" s="1"/>
  <c r="AJ37" i="39" s="1"/>
  <c r="D33" i="39"/>
  <c r="E33" i="39"/>
  <c r="F33" i="39"/>
  <c r="D32" i="39"/>
  <c r="E32" i="39"/>
  <c r="F32" i="39" s="1"/>
  <c r="G32" i="39" s="1"/>
  <c r="H32" i="39" s="1"/>
  <c r="I32" i="39" s="1"/>
  <c r="J32" i="39" s="1"/>
  <c r="K32" i="39" s="1"/>
  <c r="L32" i="39" s="1"/>
  <c r="M32" i="39" s="1"/>
  <c r="N32" i="39" s="1"/>
  <c r="Q32" i="39" s="1"/>
  <c r="R32" i="39" s="1"/>
  <c r="S32" i="39" s="1"/>
  <c r="T32" i="39" s="1"/>
  <c r="U32" i="39" s="1"/>
  <c r="V32" i="39" s="1"/>
  <c r="W32" i="39" s="1"/>
  <c r="X32" i="39" s="1"/>
  <c r="Y32" i="39" s="1"/>
  <c r="Z32" i="39" s="1"/>
  <c r="AA32" i="39" s="1"/>
  <c r="AB32" i="39" s="1"/>
  <c r="AE32" i="39" s="1"/>
  <c r="AF32" i="39" s="1"/>
  <c r="AG32" i="39" s="1"/>
  <c r="AH32" i="39" s="1"/>
  <c r="D31" i="39"/>
  <c r="C20" i="39"/>
  <c r="C22" i="39" s="1"/>
  <c r="D21" i="39"/>
  <c r="E21" i="39" s="1"/>
  <c r="F21" i="39" s="1"/>
  <c r="G21" i="39" s="1"/>
  <c r="H21" i="39" s="1"/>
  <c r="I21" i="39" s="1"/>
  <c r="J21" i="39" s="1"/>
  <c r="K21" i="39" s="1"/>
  <c r="L21" i="39" s="1"/>
  <c r="M21" i="39" s="1"/>
  <c r="N21" i="39" s="1"/>
  <c r="Q21" i="39" s="1"/>
  <c r="R21" i="39" s="1"/>
  <c r="S21" i="39" s="1"/>
  <c r="T21" i="39" s="1"/>
  <c r="U21" i="39" s="1"/>
  <c r="V21" i="39" s="1"/>
  <c r="W21" i="39" s="1"/>
  <c r="X21" i="39" s="1"/>
  <c r="Y21" i="39" s="1"/>
  <c r="Z21" i="39" s="1"/>
  <c r="AA21" i="39" s="1"/>
  <c r="AB21" i="39" s="1"/>
  <c r="AE21" i="39" s="1"/>
  <c r="AF21" i="39" s="1"/>
  <c r="AG21" i="39" s="1"/>
  <c r="AH21" i="39" s="1"/>
  <c r="AI21" i="39" s="1"/>
  <c r="AJ21" i="39" s="1"/>
  <c r="AK21" i="39" s="1"/>
  <c r="AL21" i="39" s="1"/>
  <c r="AM21" i="39" s="1"/>
  <c r="AN21" i="39" s="1"/>
  <c r="AO21" i="39" s="1"/>
  <c r="AP21" i="39" s="1"/>
  <c r="D19" i="39"/>
  <c r="E19" i="39" s="1"/>
  <c r="F19" i="39" s="1"/>
  <c r="G19" i="39" s="1"/>
  <c r="H19" i="39" s="1"/>
  <c r="I19" i="39" s="1"/>
  <c r="J19" i="39" s="1"/>
  <c r="K19" i="39" s="1"/>
  <c r="L19" i="39" s="1"/>
  <c r="M19" i="39" s="1"/>
  <c r="N19" i="39" s="1"/>
  <c r="Q19" i="39" s="1"/>
  <c r="R19" i="39" s="1"/>
  <c r="S19" i="39" s="1"/>
  <c r="T19" i="39" s="1"/>
  <c r="U19" i="39" s="1"/>
  <c r="V19" i="39" s="1"/>
  <c r="W19" i="39" s="1"/>
  <c r="X19" i="39" s="1"/>
  <c r="Y19" i="39" s="1"/>
  <c r="Z19" i="39" s="1"/>
  <c r="AA19" i="39" s="1"/>
  <c r="AB19" i="39" s="1"/>
  <c r="AE19" i="39" s="1"/>
  <c r="AF19" i="39" s="1"/>
  <c r="AG19" i="39" s="1"/>
  <c r="AH19" i="39" s="1"/>
  <c r="AI19" i="39" s="1"/>
  <c r="AJ19" i="39" s="1"/>
  <c r="AK19" i="39" s="1"/>
  <c r="AL19" i="39" s="1"/>
  <c r="AM19" i="39" s="1"/>
  <c r="AN19" i="39" s="1"/>
  <c r="AO19" i="39" s="1"/>
  <c r="AP19" i="39" s="1"/>
  <c r="D18" i="39"/>
  <c r="D20" i="39" s="1"/>
  <c r="D22" i="39" s="1"/>
  <c r="D14" i="39"/>
  <c r="E14" i="39"/>
  <c r="F14" i="39" s="1"/>
  <c r="G14" i="39" s="1"/>
  <c r="H14" i="39" s="1"/>
  <c r="I14" i="39" s="1"/>
  <c r="J14" i="39" s="1"/>
  <c r="K14" i="39" s="1"/>
  <c r="L14" i="39" s="1"/>
  <c r="M14" i="39" s="1"/>
  <c r="N14" i="39" s="1"/>
  <c r="Q14" i="39" s="1"/>
  <c r="R14" i="39" s="1"/>
  <c r="S14" i="39" s="1"/>
  <c r="T14" i="39" s="1"/>
  <c r="U14" i="39" s="1"/>
  <c r="V14" i="39" s="1"/>
  <c r="W14" i="39" s="1"/>
  <c r="X14" i="39" s="1"/>
  <c r="Y14" i="39" s="1"/>
  <c r="Z14" i="39" s="1"/>
  <c r="AA14" i="39" s="1"/>
  <c r="AB14" i="39" s="1"/>
  <c r="AE14" i="39" s="1"/>
  <c r="AF14" i="39" s="1"/>
  <c r="AG14" i="39" s="1"/>
  <c r="AH14" i="39" s="1"/>
  <c r="AI14" i="39" s="1"/>
  <c r="AJ14" i="39" s="1"/>
  <c r="AK14" i="39" s="1"/>
  <c r="AL14" i="39" s="1"/>
  <c r="AM14" i="39" s="1"/>
  <c r="AN14" i="39" s="1"/>
  <c r="AO14" i="39" s="1"/>
  <c r="AP14" i="39" s="1"/>
  <c r="E13" i="39"/>
  <c r="D13" i="39"/>
  <c r="D12" i="39"/>
  <c r="E12" i="39"/>
  <c r="D11" i="39"/>
  <c r="E11" i="39"/>
  <c r="F11" i="39" s="1"/>
  <c r="G11" i="39" s="1"/>
  <c r="H11" i="39" s="1"/>
  <c r="I11" i="39" s="1"/>
  <c r="J11" i="39" s="1"/>
  <c r="A1" i="39"/>
  <c r="Q13" i="38"/>
  <c r="R13" i="38"/>
  <c r="S13" i="38"/>
  <c r="T13" i="38"/>
  <c r="T18" i="38" s="1"/>
  <c r="T20" i="38" s="1"/>
  <c r="U13" i="38"/>
  <c r="U18" i="38" s="1"/>
  <c r="U20" i="38" s="1"/>
  <c r="U21" i="38" s="1"/>
  <c r="V13" i="38"/>
  <c r="R18" i="38"/>
  <c r="S18" i="38"/>
  <c r="V18" i="38"/>
  <c r="Q23" i="38"/>
  <c r="D10" i="38"/>
  <c r="C10" i="38"/>
  <c r="D23" i="38"/>
  <c r="E23" i="38" s="1"/>
  <c r="S23" i="38" s="1"/>
  <c r="E10" i="38"/>
  <c r="T23" i="38"/>
  <c r="G10" i="38"/>
  <c r="F10" i="38"/>
  <c r="G23" i="38"/>
  <c r="U23" i="38"/>
  <c r="V23" i="38"/>
  <c r="Q24" i="38"/>
  <c r="R24" i="38"/>
  <c r="S24" i="38"/>
  <c r="T24" i="38"/>
  <c r="G24" i="38"/>
  <c r="U24" i="38"/>
  <c r="V24" i="38"/>
  <c r="Q25" i="38"/>
  <c r="D25" i="38"/>
  <c r="H10" i="38"/>
  <c r="Q26" i="38"/>
  <c r="D26" i="38"/>
  <c r="R26" i="38" s="1"/>
  <c r="E26" i="38"/>
  <c r="S26" i="38"/>
  <c r="Q27" i="38"/>
  <c r="D27" i="38"/>
  <c r="Q28" i="38"/>
  <c r="D28" i="38"/>
  <c r="E28" i="38" s="1"/>
  <c r="S28" i="38" s="1"/>
  <c r="R28" i="38"/>
  <c r="F28" i="38"/>
  <c r="G28" i="38" s="1"/>
  <c r="U28" i="38" s="1"/>
  <c r="Q29" i="38"/>
  <c r="D29" i="38"/>
  <c r="E29" i="38" s="1"/>
  <c r="S29" i="38" s="1"/>
  <c r="Q30" i="38"/>
  <c r="D30" i="38"/>
  <c r="R30" i="38"/>
  <c r="E30" i="38"/>
  <c r="W31" i="38"/>
  <c r="Q32" i="38"/>
  <c r="D32" i="38"/>
  <c r="O39" i="38"/>
  <c r="W39" i="38"/>
  <c r="O13" i="38"/>
  <c r="O16" i="38" s="1"/>
  <c r="O14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M10" i="38"/>
  <c r="L10" i="38"/>
  <c r="O24" i="38"/>
  <c r="I10" i="38"/>
  <c r="J10" i="38"/>
  <c r="K10" i="38"/>
  <c r="N10" i="38"/>
  <c r="O31" i="38"/>
  <c r="C38" i="38"/>
  <c r="D38" i="38"/>
  <c r="E38" i="38"/>
  <c r="F38" i="38"/>
  <c r="O13" i="30"/>
  <c r="O16" i="30" s="1"/>
  <c r="O20" i="30" s="1"/>
  <c r="O14" i="30"/>
  <c r="O18" i="30"/>
  <c r="O24" i="30"/>
  <c r="O33" i="30"/>
  <c r="O42" i="30"/>
  <c r="W9" i="38"/>
  <c r="AR39" i="38"/>
  <c r="AD39" i="38"/>
  <c r="F41" i="38"/>
  <c r="E41" i="38"/>
  <c r="D41" i="38"/>
  <c r="C41" i="38"/>
  <c r="C34" i="38"/>
  <c r="AR32" i="38"/>
  <c r="AR31" i="38"/>
  <c r="X31" i="38"/>
  <c r="Y31" i="38"/>
  <c r="Z31" i="38"/>
  <c r="AF30" i="38"/>
  <c r="AR29" i="38"/>
  <c r="AQ28" i="38"/>
  <c r="AP28" i="38"/>
  <c r="AO28" i="38"/>
  <c r="AN28" i="38"/>
  <c r="AM28" i="38"/>
  <c r="AL28" i="38"/>
  <c r="AJ27" i="38"/>
  <c r="AF27" i="38"/>
  <c r="AJ26" i="38"/>
  <c r="AF25" i="38"/>
  <c r="AQ24" i="38"/>
  <c r="AP24" i="38"/>
  <c r="AO24" i="38"/>
  <c r="AN24" i="38"/>
  <c r="AM24" i="38"/>
  <c r="AL24" i="38"/>
  <c r="AK24" i="38"/>
  <c r="AJ24" i="38"/>
  <c r="AI24" i="38"/>
  <c r="AH24" i="38"/>
  <c r="AG24" i="38"/>
  <c r="AF24" i="38"/>
  <c r="AR23" i="38"/>
  <c r="X23" i="38"/>
  <c r="N16" i="38"/>
  <c r="N20" i="38"/>
  <c r="M16" i="38"/>
  <c r="M20" i="38" s="1"/>
  <c r="M21" i="38" s="1"/>
  <c r="L16" i="38"/>
  <c r="K16" i="38"/>
  <c r="K20" i="38" s="1"/>
  <c r="K21" i="38" s="1"/>
  <c r="J16" i="38"/>
  <c r="J20" i="38" s="1"/>
  <c r="J21" i="38" s="1"/>
  <c r="I16" i="38"/>
  <c r="I20" i="38"/>
  <c r="H16" i="38"/>
  <c r="H20" i="38" s="1"/>
  <c r="H21" i="38" s="1"/>
  <c r="G16" i="38"/>
  <c r="F16" i="38"/>
  <c r="F20" i="38"/>
  <c r="F21" i="38" s="1"/>
  <c r="E16" i="38"/>
  <c r="E20" i="38" s="1"/>
  <c r="E21" i="38" s="1"/>
  <c r="D16" i="38"/>
  <c r="D20" i="38" s="1"/>
  <c r="C16" i="38"/>
  <c r="AR14" i="38"/>
  <c r="AD14" i="38"/>
  <c r="X13" i="38"/>
  <c r="X16" i="38" s="1"/>
  <c r="V16" i="38"/>
  <c r="U16" i="38"/>
  <c r="S16" i="38"/>
  <c r="R16" i="38"/>
  <c r="AG10" i="38"/>
  <c r="AF10" i="38"/>
  <c r="AC10" i="38"/>
  <c r="AQ10" i="38" s="1"/>
  <c r="AB10" i="38"/>
  <c r="AP10" i="38" s="1"/>
  <c r="AA10" i="38"/>
  <c r="AO10" i="38" s="1"/>
  <c r="Z10" i="38"/>
  <c r="AN10" i="38" s="1"/>
  <c r="Y10" i="38"/>
  <c r="AM10" i="38" s="1"/>
  <c r="X10" i="38"/>
  <c r="AL10" i="38" s="1"/>
  <c r="T10" i="38"/>
  <c r="AI10" i="38" s="1"/>
  <c r="AK9" i="38"/>
  <c r="AJ9" i="38"/>
  <c r="AI9" i="38"/>
  <c r="AH9" i="38"/>
  <c r="Y9" i="38"/>
  <c r="AM9" i="38"/>
  <c r="X9" i="38"/>
  <c r="AL9" i="38" s="1"/>
  <c r="O9" i="38"/>
  <c r="O10" i="38"/>
  <c r="AP11" i="34"/>
  <c r="O9" i="43"/>
  <c r="O34" i="42"/>
  <c r="AQ38" i="42"/>
  <c r="AC38" i="42"/>
  <c r="U10" i="42"/>
  <c r="D10" i="42"/>
  <c r="H10" i="42"/>
  <c r="O10" i="42" s="1"/>
  <c r="I11" i="42"/>
  <c r="J11" i="42" s="1"/>
  <c r="K11" i="42" s="1"/>
  <c r="L11" i="42" s="1"/>
  <c r="M11" i="42" s="1"/>
  <c r="N11" i="42" s="1"/>
  <c r="O11" i="42" s="1"/>
  <c r="Y11" i="42"/>
  <c r="W15" i="42"/>
  <c r="O28" i="42"/>
  <c r="E13" i="41"/>
  <c r="H13" i="41" s="1"/>
  <c r="L25" i="41"/>
  <c r="H17" i="41"/>
  <c r="M13" i="41"/>
  <c r="E15" i="41"/>
  <c r="J15" i="41"/>
  <c r="L17" i="41"/>
  <c r="L32" i="41" s="1"/>
  <c r="H23" i="41"/>
  <c r="E26" i="41"/>
  <c r="J13" i="41"/>
  <c r="J17" i="41"/>
  <c r="M23" i="41"/>
  <c r="J23" i="41"/>
  <c r="G27" i="41"/>
  <c r="E27" i="41"/>
  <c r="E14" i="41"/>
  <c r="J14" i="41" s="1"/>
  <c r="E16" i="41"/>
  <c r="H16" i="41" s="1"/>
  <c r="E22" i="41"/>
  <c r="H22" i="41" s="1"/>
  <c r="G26" i="41"/>
  <c r="J26" i="41"/>
  <c r="E25" i="41"/>
  <c r="H25" i="41"/>
  <c r="AD11" i="40"/>
  <c r="AR11" i="40"/>
  <c r="AR31" i="40"/>
  <c r="F40" i="39"/>
  <c r="D34" i="39"/>
  <c r="T16" i="38"/>
  <c r="L20" i="38"/>
  <c r="L21" i="38" s="1"/>
  <c r="Q10" i="38"/>
  <c r="S10" i="38"/>
  <c r="AH10" i="38"/>
  <c r="C20" i="38"/>
  <c r="C36" i="38" s="1"/>
  <c r="C43" i="38" s="1"/>
  <c r="G20" i="38"/>
  <c r="G21" i="38" s="1"/>
  <c r="U10" i="38"/>
  <c r="AJ10" i="38"/>
  <c r="N21" i="38"/>
  <c r="AF28" i="38"/>
  <c r="R10" i="38"/>
  <c r="V10" i="38"/>
  <c r="AK10" i="38" s="1"/>
  <c r="Q16" i="38"/>
  <c r="R20" i="38"/>
  <c r="V20" i="38"/>
  <c r="Y23" i="38"/>
  <c r="S20" i="38"/>
  <c r="I21" i="38"/>
  <c r="AR24" i="38"/>
  <c r="Q34" i="38"/>
  <c r="A1" i="37"/>
  <c r="A1" i="29"/>
  <c r="Y15" i="42"/>
  <c r="Z11" i="42"/>
  <c r="H15" i="41"/>
  <c r="J27" i="41"/>
  <c r="E24" i="41"/>
  <c r="H24" i="41"/>
  <c r="H26" i="41"/>
  <c r="M26" i="41"/>
  <c r="J25" i="41"/>
  <c r="H27" i="41"/>
  <c r="M27" i="41"/>
  <c r="J16" i="41"/>
  <c r="J22" i="41"/>
  <c r="G40" i="39"/>
  <c r="AH28" i="38"/>
  <c r="V21" i="38"/>
  <c r="S21" i="38"/>
  <c r="R21" i="38"/>
  <c r="D34" i="38"/>
  <c r="Z23" i="38"/>
  <c r="AA23" i="38" s="1"/>
  <c r="AB23" i="38" s="1"/>
  <c r="AF14" i="36"/>
  <c r="AE14" i="36"/>
  <c r="AB14" i="36"/>
  <c r="AA14" i="36"/>
  <c r="Z14" i="36"/>
  <c r="Y14" i="36"/>
  <c r="W14" i="36"/>
  <c r="C11" i="36"/>
  <c r="C12" i="36"/>
  <c r="D12" i="36"/>
  <c r="E12" i="36"/>
  <c r="C13" i="36"/>
  <c r="C14" i="36"/>
  <c r="D14" i="36"/>
  <c r="C15" i="36"/>
  <c r="D15" i="36"/>
  <c r="E15" i="36"/>
  <c r="F15" i="36"/>
  <c r="C9" i="36"/>
  <c r="O9" i="36"/>
  <c r="AP14" i="36"/>
  <c r="AI14" i="36"/>
  <c r="AH14" i="36"/>
  <c r="AQ14" i="36" s="1"/>
  <c r="AG14" i="36"/>
  <c r="X14" i="36"/>
  <c r="Z15" i="42"/>
  <c r="AA11" i="42"/>
  <c r="J24" i="41"/>
  <c r="H40" i="39"/>
  <c r="AH26" i="38"/>
  <c r="AG26" i="38"/>
  <c r="AG30" i="38"/>
  <c r="AG28" i="38"/>
  <c r="AJ14" i="36"/>
  <c r="AB33" i="35"/>
  <c r="AA33" i="35"/>
  <c r="Z33" i="35"/>
  <c r="Y33" i="35"/>
  <c r="Y21" i="35"/>
  <c r="Y27" i="35"/>
  <c r="Y36" i="35"/>
  <c r="X33" i="35"/>
  <c r="AB27" i="35"/>
  <c r="AA27" i="35"/>
  <c r="Z27" i="35"/>
  <c r="Z36" i="35" s="1"/>
  <c r="X27" i="35"/>
  <c r="AB21" i="35"/>
  <c r="AB36" i="35"/>
  <c r="AA21" i="35"/>
  <c r="AA36" i="35" s="1"/>
  <c r="Z21" i="35"/>
  <c r="X21" i="35"/>
  <c r="X36" i="35" s="1"/>
  <c r="W21" i="35"/>
  <c r="W27" i="35"/>
  <c r="W33" i="35"/>
  <c r="W36" i="35" s="1"/>
  <c r="C38" i="35"/>
  <c r="O38" i="35" s="1"/>
  <c r="E30" i="35"/>
  <c r="C33" i="35"/>
  <c r="D31" i="35"/>
  <c r="G30" i="35"/>
  <c r="F30" i="35"/>
  <c r="D30" i="35"/>
  <c r="D33" i="35" s="1"/>
  <c r="D24" i="35"/>
  <c r="C27" i="35"/>
  <c r="I24" i="35"/>
  <c r="I27" i="35"/>
  <c r="H24" i="35"/>
  <c r="H27" i="35" s="1"/>
  <c r="G24" i="35"/>
  <c r="G27" i="35"/>
  <c r="F24" i="35"/>
  <c r="F27" i="35" s="1"/>
  <c r="E24" i="35"/>
  <c r="E27" i="35"/>
  <c r="F19" i="35"/>
  <c r="E19" i="35"/>
  <c r="D19" i="35"/>
  <c r="F18" i="35"/>
  <c r="E18" i="35"/>
  <c r="D18" i="35"/>
  <c r="E16" i="35"/>
  <c r="D16" i="35"/>
  <c r="D15" i="35"/>
  <c r="V11" i="35"/>
  <c r="U11" i="35"/>
  <c r="T11" i="35"/>
  <c r="S11" i="35"/>
  <c r="AC11" i="35" s="1"/>
  <c r="R11" i="35"/>
  <c r="Q11" i="35"/>
  <c r="N11" i="35"/>
  <c r="M11" i="35"/>
  <c r="L11" i="35"/>
  <c r="K11" i="35"/>
  <c r="J11" i="35"/>
  <c r="I11" i="35"/>
  <c r="H11" i="35"/>
  <c r="G11" i="35"/>
  <c r="F11" i="35"/>
  <c r="E11" i="35"/>
  <c r="D11" i="35"/>
  <c r="C11" i="35"/>
  <c r="A1" i="35"/>
  <c r="I25" i="32"/>
  <c r="AI32" i="39"/>
  <c r="AJ32" i="39" s="1"/>
  <c r="AK14" i="36"/>
  <c r="O11" i="35"/>
  <c r="AQ11" i="34"/>
  <c r="AJ28" i="38"/>
  <c r="AC23" i="38"/>
  <c r="AL14" i="36"/>
  <c r="AQ28" i="29"/>
  <c r="AQ10" i="29"/>
  <c r="Q38" i="29"/>
  <c r="AC38" i="29" s="1"/>
  <c r="R38" i="29"/>
  <c r="S38" i="29"/>
  <c r="T38" i="29"/>
  <c r="U38" i="29"/>
  <c r="V38" i="29"/>
  <c r="Q35" i="29"/>
  <c r="R35" i="29"/>
  <c r="S35" i="29"/>
  <c r="T35" i="29"/>
  <c r="U35" i="29"/>
  <c r="V35" i="29"/>
  <c r="AC35" i="29"/>
  <c r="Q34" i="29"/>
  <c r="R34" i="29"/>
  <c r="S34" i="29"/>
  <c r="T34" i="29"/>
  <c r="AC34" i="29" s="1"/>
  <c r="U34" i="29"/>
  <c r="V34" i="29"/>
  <c r="Q28" i="29"/>
  <c r="AC28" i="29" s="1"/>
  <c r="R28" i="29"/>
  <c r="S28" i="29"/>
  <c r="T28" i="29"/>
  <c r="U28" i="29"/>
  <c r="V28" i="29"/>
  <c r="AM14" i="36"/>
  <c r="D74" i="12"/>
  <c r="E74" i="12"/>
  <c r="F74" i="12"/>
  <c r="G74" i="12" s="1"/>
  <c r="H74" i="12" s="1"/>
  <c r="I74" i="12" s="1"/>
  <c r="J74" i="12" s="1"/>
  <c r="K74" i="12" s="1"/>
  <c r="L74" i="12" s="1"/>
  <c r="M74" i="12" s="1"/>
  <c r="N74" i="12" s="1"/>
  <c r="O74" i="12" s="1"/>
  <c r="Q74" i="12" s="1"/>
  <c r="R74" i="12" s="1"/>
  <c r="S74" i="12" s="1"/>
  <c r="T74" i="12" s="1"/>
  <c r="U74" i="12" s="1"/>
  <c r="V74" i="12" s="1"/>
  <c r="W74" i="12" s="1"/>
  <c r="X74" i="12" s="1"/>
  <c r="Y74" i="12" s="1"/>
  <c r="Z74" i="12" s="1"/>
  <c r="AA74" i="12" s="1"/>
  <c r="AB74" i="12" s="1"/>
  <c r="AC74" i="12" s="1"/>
  <c r="AE74" i="12" s="1"/>
  <c r="AF74" i="12" s="1"/>
  <c r="AG74" i="12" s="1"/>
  <c r="AH74" i="12" s="1"/>
  <c r="AI74" i="12" s="1"/>
  <c r="AJ74" i="12" s="1"/>
  <c r="AK74" i="12" s="1"/>
  <c r="AL74" i="12" s="1"/>
  <c r="AM74" i="12" s="1"/>
  <c r="AN74" i="12" s="1"/>
  <c r="AO74" i="12" s="1"/>
  <c r="AP74" i="12" s="1"/>
  <c r="AQ74" i="12" s="1"/>
  <c r="D40" i="22"/>
  <c r="E40" i="22" s="1"/>
  <c r="AO14" i="36"/>
  <c r="AN14" i="36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C35" i="29"/>
  <c r="D35" i="29"/>
  <c r="E35" i="29"/>
  <c r="O35" i="29" s="1"/>
  <c r="F35" i="29"/>
  <c r="G35" i="29"/>
  <c r="H35" i="29"/>
  <c r="I35" i="29"/>
  <c r="J35" i="29"/>
  <c r="K35" i="29"/>
  <c r="L35" i="29"/>
  <c r="M35" i="29"/>
  <c r="N35" i="29"/>
  <c r="C34" i="29"/>
  <c r="D34" i="29"/>
  <c r="O34" i="29" s="1"/>
  <c r="E34" i="29"/>
  <c r="F34" i="29"/>
  <c r="G34" i="29"/>
  <c r="H34" i="29"/>
  <c r="I34" i="29"/>
  <c r="J34" i="29"/>
  <c r="K34" i="29"/>
  <c r="L34" i="29"/>
  <c r="M34" i="29"/>
  <c r="N34" i="29"/>
  <c r="C28" i="29"/>
  <c r="D28" i="29"/>
  <c r="O28" i="29" s="1"/>
  <c r="E28" i="29"/>
  <c r="F28" i="29"/>
  <c r="G28" i="29"/>
  <c r="H28" i="29"/>
  <c r="I28" i="29"/>
  <c r="J28" i="29"/>
  <c r="K28" i="29"/>
  <c r="L28" i="29"/>
  <c r="M28" i="29"/>
  <c r="N28" i="29"/>
  <c r="AQ38" i="29"/>
  <c r="B18" i="32"/>
  <c r="B19" i="32" s="1"/>
  <c r="G14" i="32"/>
  <c r="L14" i="32"/>
  <c r="G17" i="32"/>
  <c r="L17" i="32" s="1"/>
  <c r="G18" i="32"/>
  <c r="L18" i="32"/>
  <c r="G25" i="32"/>
  <c r="L25" i="32" s="1"/>
  <c r="T11" i="29"/>
  <c r="S11" i="29"/>
  <c r="T10" i="29"/>
  <c r="U11" i="29"/>
  <c r="R11" i="29"/>
  <c r="S10" i="29"/>
  <c r="Q11" i="29"/>
  <c r="R10" i="29" s="1"/>
  <c r="AC10" i="29" s="1"/>
  <c r="F11" i="29"/>
  <c r="E11" i="29"/>
  <c r="F10" i="29"/>
  <c r="H11" i="29"/>
  <c r="I11" i="29" s="1"/>
  <c r="J11" i="29" s="1"/>
  <c r="K11" i="29" s="1"/>
  <c r="L11" i="29" s="1"/>
  <c r="M11" i="29" s="1"/>
  <c r="N11" i="29" s="1"/>
  <c r="O11" i="29" s="1"/>
  <c r="G11" i="29"/>
  <c r="G10" i="29" s="1"/>
  <c r="D11" i="29"/>
  <c r="D10" i="29" s="1"/>
  <c r="E10" i="29"/>
  <c r="C11" i="29"/>
  <c r="H10" i="29"/>
  <c r="V10" i="29"/>
  <c r="U10" i="29"/>
  <c r="AC11" i="34"/>
  <c r="C15" i="32"/>
  <c r="E15" i="32" s="1"/>
  <c r="B24" i="32"/>
  <c r="B26" i="32"/>
  <c r="B27" i="32"/>
  <c r="C14" i="32"/>
  <c r="E14" i="32" s="1"/>
  <c r="D40" i="27"/>
  <c r="F33" i="27"/>
  <c r="E33" i="27"/>
  <c r="D33" i="27"/>
  <c r="D14" i="27"/>
  <c r="D13" i="27"/>
  <c r="C42" i="27"/>
  <c r="C40" i="27"/>
  <c r="C37" i="27"/>
  <c r="C33" i="27"/>
  <c r="C32" i="27"/>
  <c r="C31" i="27"/>
  <c r="C21" i="27"/>
  <c r="C19" i="27"/>
  <c r="C18" i="27"/>
  <c r="C14" i="27"/>
  <c r="C13" i="27"/>
  <c r="C12" i="27"/>
  <c r="C11" i="27"/>
  <c r="A1" i="21"/>
  <c r="A1" i="26"/>
  <c r="V39" i="26"/>
  <c r="U39" i="26"/>
  <c r="T39" i="26"/>
  <c r="S39" i="26"/>
  <c r="R39" i="26"/>
  <c r="Q39" i="26"/>
  <c r="Q32" i="26"/>
  <c r="Q31" i="26"/>
  <c r="V30" i="26"/>
  <c r="U30" i="26"/>
  <c r="T30" i="26"/>
  <c r="S30" i="26"/>
  <c r="R30" i="26"/>
  <c r="Q30" i="26"/>
  <c r="Q29" i="26"/>
  <c r="U28" i="26"/>
  <c r="Q28" i="26"/>
  <c r="Q27" i="26"/>
  <c r="Q26" i="26"/>
  <c r="U25" i="26"/>
  <c r="Q25" i="26"/>
  <c r="Q24" i="26"/>
  <c r="U23" i="26"/>
  <c r="Q23" i="26"/>
  <c r="Q22" i="26"/>
  <c r="V21" i="26"/>
  <c r="T21" i="26"/>
  <c r="S21" i="26"/>
  <c r="R21" i="26"/>
  <c r="Q21" i="26"/>
  <c r="V20" i="26"/>
  <c r="T20" i="26"/>
  <c r="Q20" i="26"/>
  <c r="U15" i="26"/>
  <c r="T15" i="26"/>
  <c r="S15" i="26"/>
  <c r="V11" i="26"/>
  <c r="U11" i="26"/>
  <c r="T11" i="26"/>
  <c r="S11" i="26"/>
  <c r="R11" i="26"/>
  <c r="Q11" i="26"/>
  <c r="U10" i="26"/>
  <c r="T10" i="26"/>
  <c r="T13" i="26"/>
  <c r="T17" i="26" s="1"/>
  <c r="S10" i="26"/>
  <c r="S13" i="26" s="1"/>
  <c r="S17" i="26" s="1"/>
  <c r="Q10" i="26"/>
  <c r="Q13" i="26"/>
  <c r="N39" i="26"/>
  <c r="M39" i="26"/>
  <c r="L39" i="26"/>
  <c r="K39" i="26"/>
  <c r="J39" i="26"/>
  <c r="I39" i="26"/>
  <c r="H39" i="26"/>
  <c r="G39" i="26"/>
  <c r="F39" i="26"/>
  <c r="E39" i="26"/>
  <c r="D39" i="26"/>
  <c r="G30" i="26"/>
  <c r="F30" i="26"/>
  <c r="E30" i="26"/>
  <c r="D30" i="26"/>
  <c r="N21" i="26"/>
  <c r="M21" i="26"/>
  <c r="L21" i="26"/>
  <c r="K21" i="26"/>
  <c r="J21" i="26"/>
  <c r="I21" i="26"/>
  <c r="H21" i="26"/>
  <c r="F21" i="26"/>
  <c r="E21" i="26"/>
  <c r="D21" i="26"/>
  <c r="N20" i="26"/>
  <c r="L20" i="26"/>
  <c r="K20" i="26"/>
  <c r="J20" i="26"/>
  <c r="I20" i="26"/>
  <c r="H20" i="26"/>
  <c r="F20" i="26"/>
  <c r="M15" i="26"/>
  <c r="L15" i="26"/>
  <c r="K15" i="26"/>
  <c r="I15" i="26"/>
  <c r="H15" i="26"/>
  <c r="G15" i="26"/>
  <c r="E15" i="26"/>
  <c r="D15" i="26"/>
  <c r="N11" i="26"/>
  <c r="M11" i="26"/>
  <c r="L11" i="26"/>
  <c r="K11" i="26"/>
  <c r="J11" i="26"/>
  <c r="I11" i="26"/>
  <c r="H11" i="26"/>
  <c r="G11" i="26"/>
  <c r="G13" i="26" s="1"/>
  <c r="G17" i="26" s="1"/>
  <c r="F11" i="26"/>
  <c r="E11" i="26"/>
  <c r="D11" i="26"/>
  <c r="N10" i="26"/>
  <c r="M10" i="26"/>
  <c r="L10" i="26"/>
  <c r="L13" i="26"/>
  <c r="K10" i="26"/>
  <c r="K13" i="26" s="1"/>
  <c r="K17" i="26" s="1"/>
  <c r="J10" i="26"/>
  <c r="I10" i="26"/>
  <c r="H10" i="26"/>
  <c r="H13" i="26" s="1"/>
  <c r="H17" i="26" s="1"/>
  <c r="G10" i="26"/>
  <c r="F10" i="26"/>
  <c r="F13" i="26" s="1"/>
  <c r="F17" i="26" s="1"/>
  <c r="E10" i="26"/>
  <c r="D10" i="26"/>
  <c r="D13" i="26"/>
  <c r="D17" i="26"/>
  <c r="C39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A21" i="26"/>
  <c r="A22" i="26"/>
  <c r="A23" i="26"/>
  <c r="A25" i="26"/>
  <c r="A26" i="26"/>
  <c r="A28" i="26"/>
  <c r="A29" i="26"/>
  <c r="A30" i="26"/>
  <c r="A32" i="26"/>
  <c r="A20" i="26"/>
  <c r="C15" i="26"/>
  <c r="C11" i="26"/>
  <c r="C10" i="26"/>
  <c r="I13" i="26"/>
  <c r="I17" i="26"/>
  <c r="J13" i="26"/>
  <c r="N13" i="26"/>
  <c r="Q34" i="26"/>
  <c r="E13" i="26"/>
  <c r="M13" i="26"/>
  <c r="M17" i="26"/>
  <c r="U13" i="26"/>
  <c r="U17" i="26" s="1"/>
  <c r="L17" i="26"/>
  <c r="E17" i="26"/>
  <c r="A1" i="34"/>
  <c r="A1" i="12"/>
  <c r="A1" i="22"/>
  <c r="A1" i="31"/>
  <c r="A1" i="27"/>
  <c r="H30" i="26"/>
  <c r="C38" i="26"/>
  <c r="V10" i="26"/>
  <c r="V13" i="26" s="1"/>
  <c r="V17" i="26" s="1"/>
  <c r="R10" i="26"/>
  <c r="R13" i="26"/>
  <c r="R17" i="26" s="1"/>
  <c r="R36" i="26" s="1"/>
  <c r="I30" i="26"/>
  <c r="E18" i="27"/>
  <c r="D18" i="27"/>
  <c r="D45" i="29"/>
  <c r="C45" i="29"/>
  <c r="E42" i="29"/>
  <c r="D42" i="29"/>
  <c r="D44" i="29" s="1"/>
  <c r="C42" i="29"/>
  <c r="Q32" i="32"/>
  <c r="P32" i="32"/>
  <c r="O32" i="32"/>
  <c r="I32" i="32"/>
  <c r="F42" i="29"/>
  <c r="C34" i="22"/>
  <c r="J30" i="26"/>
  <c r="E14" i="27"/>
  <c r="F18" i="27"/>
  <c r="C44" i="29"/>
  <c r="K30" i="26"/>
  <c r="G18" i="27"/>
  <c r="L30" i="26"/>
  <c r="H18" i="27"/>
  <c r="C41" i="27"/>
  <c r="V15" i="26"/>
  <c r="R15" i="26"/>
  <c r="C32" i="29"/>
  <c r="C26" i="29"/>
  <c r="C22" i="29"/>
  <c r="M30" i="26"/>
  <c r="D37" i="27"/>
  <c r="I18" i="27"/>
  <c r="D32" i="27"/>
  <c r="O9" i="30"/>
  <c r="H14" i="29"/>
  <c r="G14" i="29"/>
  <c r="E14" i="29"/>
  <c r="B13" i="32"/>
  <c r="C13" i="32" s="1"/>
  <c r="N15" i="26"/>
  <c r="N17" i="26"/>
  <c r="F15" i="26"/>
  <c r="F14" i="29"/>
  <c r="J15" i="26"/>
  <c r="J17" i="26" s="1"/>
  <c r="D14" i="29"/>
  <c r="N30" i="26"/>
  <c r="E32" i="27"/>
  <c r="J18" i="27"/>
  <c r="E37" i="27"/>
  <c r="U21" i="26"/>
  <c r="G21" i="26"/>
  <c r="S24" i="26"/>
  <c r="E24" i="26"/>
  <c r="R28" i="26"/>
  <c r="D28" i="26"/>
  <c r="R31" i="26"/>
  <c r="D31" i="26"/>
  <c r="E20" i="26"/>
  <c r="R20" i="26"/>
  <c r="D20" i="26"/>
  <c r="R27" i="26"/>
  <c r="D27" i="26"/>
  <c r="E27" i="26"/>
  <c r="R25" i="26"/>
  <c r="D25" i="26"/>
  <c r="R22" i="26"/>
  <c r="D22" i="26"/>
  <c r="S26" i="26"/>
  <c r="E26" i="26"/>
  <c r="R32" i="26"/>
  <c r="D32" i="26"/>
  <c r="R24" i="26"/>
  <c r="D24" i="26"/>
  <c r="R23" i="26"/>
  <c r="D23" i="26"/>
  <c r="R29" i="26"/>
  <c r="D29" i="26"/>
  <c r="R26" i="26"/>
  <c r="D26" i="26"/>
  <c r="F37" i="27"/>
  <c r="F32" i="27"/>
  <c r="C16" i="32"/>
  <c r="E16" i="32" s="1"/>
  <c r="J16" i="32" s="1"/>
  <c r="G15" i="32"/>
  <c r="D21" i="22"/>
  <c r="D21" i="27" s="1"/>
  <c r="V21" i="29"/>
  <c r="V41" i="29"/>
  <c r="U21" i="29"/>
  <c r="U41" i="29" s="1"/>
  <c r="T21" i="29"/>
  <c r="T41" i="29"/>
  <c r="S21" i="29"/>
  <c r="S41" i="29" s="1"/>
  <c r="R21" i="29"/>
  <c r="R41" i="29"/>
  <c r="Q21" i="29"/>
  <c r="Q41" i="29" s="1"/>
  <c r="V15" i="29"/>
  <c r="U15" i="29"/>
  <c r="T15" i="29"/>
  <c r="S15" i="29"/>
  <c r="R15" i="29"/>
  <c r="Q15" i="29"/>
  <c r="D38" i="31"/>
  <c r="C38" i="31"/>
  <c r="C20" i="31"/>
  <c r="C18" i="31"/>
  <c r="C17" i="31"/>
  <c r="C13" i="31"/>
  <c r="R7" i="31"/>
  <c r="S7" i="31"/>
  <c r="T7" i="31" s="1"/>
  <c r="U7" i="31" s="1"/>
  <c r="V7" i="31" s="1"/>
  <c r="D7" i="31"/>
  <c r="E7" i="31" s="1"/>
  <c r="F7" i="31" s="1"/>
  <c r="G7" i="31" s="1"/>
  <c r="H7" i="31" s="1"/>
  <c r="I7" i="31" s="1"/>
  <c r="J7" i="31" s="1"/>
  <c r="K7" i="31" s="1"/>
  <c r="L7" i="31" s="1"/>
  <c r="M7" i="31" s="1"/>
  <c r="N7" i="31" s="1"/>
  <c r="R7" i="21"/>
  <c r="S7" i="21"/>
  <c r="T7" i="21" s="1"/>
  <c r="U7" i="21" s="1"/>
  <c r="V7" i="21" s="1"/>
  <c r="D7" i="21"/>
  <c r="E7" i="21" s="1"/>
  <c r="F7" i="21" s="1"/>
  <c r="G7" i="21" s="1"/>
  <c r="H7" i="21" s="1"/>
  <c r="I7" i="21" s="1"/>
  <c r="J7" i="21" s="1"/>
  <c r="K7" i="21" s="1"/>
  <c r="L7" i="21" s="1"/>
  <c r="M7" i="21" s="1"/>
  <c r="N7" i="21" s="1"/>
  <c r="V42" i="21"/>
  <c r="U42" i="21"/>
  <c r="T42" i="21"/>
  <c r="S42" i="21"/>
  <c r="R42" i="21"/>
  <c r="Q42" i="21"/>
  <c r="R35" i="21"/>
  <c r="Q35" i="21"/>
  <c r="R34" i="21"/>
  <c r="Q34" i="21"/>
  <c r="V33" i="21"/>
  <c r="U33" i="21"/>
  <c r="T33" i="21"/>
  <c r="S33" i="21"/>
  <c r="R33" i="21"/>
  <c r="Q33" i="21"/>
  <c r="Q32" i="21"/>
  <c r="U31" i="21"/>
  <c r="R31" i="21"/>
  <c r="Q31" i="21"/>
  <c r="R30" i="21"/>
  <c r="Q30" i="21"/>
  <c r="S29" i="21"/>
  <c r="R29" i="21"/>
  <c r="Q29" i="21"/>
  <c r="U28" i="21"/>
  <c r="R28" i="21"/>
  <c r="Q28" i="21"/>
  <c r="S27" i="21"/>
  <c r="R27" i="21"/>
  <c r="Q27" i="21"/>
  <c r="U26" i="21"/>
  <c r="R26" i="21"/>
  <c r="Q26" i="21"/>
  <c r="R25" i="21"/>
  <c r="Q25" i="21"/>
  <c r="V24" i="21"/>
  <c r="U24" i="21"/>
  <c r="T24" i="21"/>
  <c r="S24" i="21"/>
  <c r="R24" i="21"/>
  <c r="R37" i="21" s="1"/>
  <c r="Q24" i="21"/>
  <c r="V23" i="21"/>
  <c r="T23" i="21"/>
  <c r="R23" i="21"/>
  <c r="Q23" i="21"/>
  <c r="V25" i="29"/>
  <c r="U25" i="29"/>
  <c r="S25" i="29"/>
  <c r="V14" i="21"/>
  <c r="U14" i="21"/>
  <c r="U16" i="21" s="1"/>
  <c r="T14" i="21"/>
  <c r="S14" i="21"/>
  <c r="R14" i="21"/>
  <c r="Q14" i="21"/>
  <c r="V13" i="21"/>
  <c r="U13" i="21"/>
  <c r="T13" i="21"/>
  <c r="S13" i="21"/>
  <c r="S16" i="21" s="1"/>
  <c r="R13" i="21"/>
  <c r="Q13" i="21"/>
  <c r="V10" i="21"/>
  <c r="U10" i="21"/>
  <c r="T10" i="21"/>
  <c r="S10" i="21"/>
  <c r="R10" i="21"/>
  <c r="V9" i="21"/>
  <c r="U9" i="21"/>
  <c r="T9" i="21"/>
  <c r="S9" i="21"/>
  <c r="R9" i="21"/>
  <c r="Q9" i="21"/>
  <c r="N42" i="21"/>
  <c r="M42" i="21"/>
  <c r="L42" i="21"/>
  <c r="K42" i="21"/>
  <c r="J42" i="21"/>
  <c r="I42" i="21"/>
  <c r="H42" i="21"/>
  <c r="G42" i="21"/>
  <c r="F42" i="21"/>
  <c r="E42" i="21"/>
  <c r="D42" i="21"/>
  <c r="N33" i="21"/>
  <c r="N24" i="21"/>
  <c r="N23" i="21"/>
  <c r="M23" i="21"/>
  <c r="L23" i="21"/>
  <c r="K23" i="21"/>
  <c r="J23" i="21"/>
  <c r="I23" i="21"/>
  <c r="H23" i="21"/>
  <c r="F23" i="21"/>
  <c r="E23" i="21"/>
  <c r="N14" i="21"/>
  <c r="M14" i="21"/>
  <c r="L14" i="21"/>
  <c r="L16" i="21" s="1"/>
  <c r="L20" i="21" s="1"/>
  <c r="K14" i="21"/>
  <c r="J14" i="21"/>
  <c r="I14" i="21"/>
  <c r="H14" i="21"/>
  <c r="H16" i="21" s="1"/>
  <c r="G14" i="21"/>
  <c r="F14" i="21"/>
  <c r="E14" i="21"/>
  <c r="D14" i="21"/>
  <c r="N13" i="21"/>
  <c r="N9" i="21"/>
  <c r="M9" i="21"/>
  <c r="L9" i="21"/>
  <c r="K9" i="21"/>
  <c r="J9" i="21"/>
  <c r="I9" i="21"/>
  <c r="H9" i="21"/>
  <c r="G9" i="21"/>
  <c r="F9" i="21"/>
  <c r="E9" i="21"/>
  <c r="D9" i="21"/>
  <c r="C42" i="21"/>
  <c r="C41" i="21"/>
  <c r="C23" i="21"/>
  <c r="C14" i="21"/>
  <c r="C10" i="21"/>
  <c r="C9" i="21"/>
  <c r="O9" i="21" s="1"/>
  <c r="AQ42" i="30"/>
  <c r="AC42" i="30"/>
  <c r="AQ35" i="30"/>
  <c r="AQ33" i="30"/>
  <c r="AC33" i="30"/>
  <c r="AQ31" i="30"/>
  <c r="AQ27" i="30"/>
  <c r="AQ24" i="30"/>
  <c r="AC24" i="30"/>
  <c r="D23" i="21"/>
  <c r="D37" i="21" s="1"/>
  <c r="AQ14" i="30"/>
  <c r="AC14" i="30"/>
  <c r="AI10" i="30"/>
  <c r="AG10" i="30"/>
  <c r="AJ10" i="30"/>
  <c r="AH10" i="30"/>
  <c r="Q10" i="21"/>
  <c r="L10" i="21"/>
  <c r="I10" i="21"/>
  <c r="H10" i="21"/>
  <c r="U13" i="29"/>
  <c r="S13" i="29"/>
  <c r="D10" i="21"/>
  <c r="AJ9" i="30"/>
  <c r="AI9" i="30"/>
  <c r="AH9" i="30"/>
  <c r="AG9" i="30"/>
  <c r="J16" i="21"/>
  <c r="G16" i="21"/>
  <c r="K16" i="21"/>
  <c r="F16" i="21"/>
  <c r="N16" i="21"/>
  <c r="Q37" i="21"/>
  <c r="M20" i="26"/>
  <c r="E23" i="26"/>
  <c r="F26" i="26"/>
  <c r="E29" i="26"/>
  <c r="E32" i="26"/>
  <c r="E31" i="26"/>
  <c r="R32" i="21"/>
  <c r="D34" i="26"/>
  <c r="D36" i="26" s="1"/>
  <c r="E28" i="26"/>
  <c r="E22" i="26"/>
  <c r="E25" i="26"/>
  <c r="R34" i="26"/>
  <c r="F24" i="26"/>
  <c r="G37" i="27"/>
  <c r="T25" i="29"/>
  <c r="E16" i="21"/>
  <c r="M16" i="21"/>
  <c r="C17" i="32"/>
  <c r="E17" i="32" s="1"/>
  <c r="J17" i="32" s="1"/>
  <c r="G16" i="32"/>
  <c r="M15" i="32"/>
  <c r="V16" i="21"/>
  <c r="V20" i="21" s="1"/>
  <c r="V21" i="21" s="1"/>
  <c r="R16" i="21"/>
  <c r="R20" i="21" s="1"/>
  <c r="R21" i="21" s="1"/>
  <c r="Q13" i="29"/>
  <c r="I16" i="21"/>
  <c r="I57" i="28"/>
  <c r="I58" i="28"/>
  <c r="E10" i="21"/>
  <c r="K10" i="21"/>
  <c r="M10" i="21"/>
  <c r="D16" i="21"/>
  <c r="R13" i="29"/>
  <c r="V13" i="29"/>
  <c r="G10" i="21"/>
  <c r="T16" i="21"/>
  <c r="T20" i="21"/>
  <c r="T21" i="21" s="1"/>
  <c r="Q16" i="21"/>
  <c r="D20" i="31"/>
  <c r="E21" i="22"/>
  <c r="E21" i="27" s="1"/>
  <c r="C19" i="31"/>
  <c r="C21" i="31" s="1"/>
  <c r="U17" i="29"/>
  <c r="R17" i="29"/>
  <c r="V17" i="29"/>
  <c r="O10" i="30"/>
  <c r="C15" i="29"/>
  <c r="G15" i="29"/>
  <c r="K15" i="29"/>
  <c r="D15" i="29"/>
  <c r="H15" i="29"/>
  <c r="L15" i="29"/>
  <c r="E15" i="29"/>
  <c r="I15" i="29"/>
  <c r="M15" i="29"/>
  <c r="AQ62" i="12"/>
  <c r="AQ52" i="12"/>
  <c r="AP36" i="12"/>
  <c r="AO36" i="12"/>
  <c r="AN36" i="12"/>
  <c r="AM36" i="12"/>
  <c r="AL36" i="12"/>
  <c r="AK36" i="12"/>
  <c r="AJ36" i="12"/>
  <c r="AI36" i="12"/>
  <c r="AH36" i="12"/>
  <c r="AG36" i="12"/>
  <c r="AF36" i="12"/>
  <c r="AE36" i="12"/>
  <c r="AQ34" i="12"/>
  <c r="AQ33" i="12"/>
  <c r="AQ32" i="12"/>
  <c r="AQ31" i="12"/>
  <c r="AQ30" i="12"/>
  <c r="AQ29" i="12"/>
  <c r="AQ28" i="12"/>
  <c r="AQ27" i="12"/>
  <c r="AQ26" i="12"/>
  <c r="AQ25" i="12"/>
  <c r="AQ24" i="12"/>
  <c r="AQ23" i="12"/>
  <c r="AQ18" i="12"/>
  <c r="AP16" i="12"/>
  <c r="AP20" i="12"/>
  <c r="AO16" i="12"/>
  <c r="AO20" i="12" s="1"/>
  <c r="AN16" i="12"/>
  <c r="AN20" i="12"/>
  <c r="AM16" i="12"/>
  <c r="AM20" i="12" s="1"/>
  <c r="AL16" i="12"/>
  <c r="AL20" i="12"/>
  <c r="AK16" i="12"/>
  <c r="AK20" i="12" s="1"/>
  <c r="AJ16" i="12"/>
  <c r="AJ20" i="12"/>
  <c r="AI16" i="12"/>
  <c r="AI20" i="12" s="1"/>
  <c r="AH16" i="12"/>
  <c r="AH20" i="12"/>
  <c r="AG16" i="12"/>
  <c r="AG20" i="12" s="1"/>
  <c r="AF16" i="12"/>
  <c r="AF20" i="12"/>
  <c r="AE16" i="12"/>
  <c r="AE20" i="12" s="1"/>
  <c r="AQ14" i="12"/>
  <c r="AQ13" i="12"/>
  <c r="AQ16" i="12" s="1"/>
  <c r="AQ20" i="12" s="1"/>
  <c r="AE72" i="28"/>
  <c r="AF72" i="28" s="1"/>
  <c r="AG72" i="28" s="1"/>
  <c r="AH72" i="28" s="1"/>
  <c r="AI72" i="28" s="1"/>
  <c r="AJ72" i="28" s="1"/>
  <c r="AK72" i="28" s="1"/>
  <c r="AL72" i="28" s="1"/>
  <c r="AM72" i="28" s="1"/>
  <c r="AN72" i="28" s="1"/>
  <c r="AO72" i="28" s="1"/>
  <c r="AP72" i="28" s="1"/>
  <c r="AQ72" i="28" s="1"/>
  <c r="AP65" i="28"/>
  <c r="AO65" i="28"/>
  <c r="AN65" i="28"/>
  <c r="AM65" i="28"/>
  <c r="AL65" i="28"/>
  <c r="AK65" i="28"/>
  <c r="AJ65" i="28"/>
  <c r="AI65" i="28"/>
  <c r="AH65" i="28"/>
  <c r="AG65" i="28"/>
  <c r="AF65" i="28"/>
  <c r="AE65" i="28"/>
  <c r="AP52" i="28"/>
  <c r="AO52" i="28"/>
  <c r="AO45" i="28"/>
  <c r="AO67" i="28" s="1"/>
  <c r="AN52" i="28"/>
  <c r="AM52" i="28"/>
  <c r="AL52" i="28"/>
  <c r="AK52" i="28"/>
  <c r="AK45" i="28"/>
  <c r="AK67" i="28"/>
  <c r="AJ52" i="28"/>
  <c r="AI52" i="28"/>
  <c r="AH52" i="28"/>
  <c r="AG52" i="28"/>
  <c r="AG45" i="28"/>
  <c r="AG67" i="28" s="1"/>
  <c r="AF52" i="28"/>
  <c r="AE52" i="28"/>
  <c r="AP45" i="28"/>
  <c r="AP67" i="28" s="1"/>
  <c r="AN45" i="28"/>
  <c r="AN67" i="28"/>
  <c r="AM45" i="28"/>
  <c r="AM67" i="28" s="1"/>
  <c r="AL45" i="28"/>
  <c r="AL67" i="28"/>
  <c r="AJ45" i="28"/>
  <c r="AJ67" i="28" s="1"/>
  <c r="AI45" i="28"/>
  <c r="AI67" i="28"/>
  <c r="AH45" i="28"/>
  <c r="AH67" i="28" s="1"/>
  <c r="AF45" i="28"/>
  <c r="AF67" i="28"/>
  <c r="AE45" i="28"/>
  <c r="AE67" i="28" s="1"/>
  <c r="AB65" i="28"/>
  <c r="AA65" i="28"/>
  <c r="Z65" i="28"/>
  <c r="Z45" i="28"/>
  <c r="Z52" i="28"/>
  <c r="Z67" i="28"/>
  <c r="Y65" i="28"/>
  <c r="X65" i="28"/>
  <c r="AB52" i="28"/>
  <c r="AA52" i="28"/>
  <c r="AA45" i="28"/>
  <c r="AA67" i="28" s="1"/>
  <c r="Y52" i="28"/>
  <c r="X52" i="28"/>
  <c r="AB45" i="28"/>
  <c r="AB67" i="28" s="1"/>
  <c r="Y45" i="28"/>
  <c r="Y67" i="28"/>
  <c r="X45" i="28"/>
  <c r="X67" i="28" s="1"/>
  <c r="AQ64" i="28"/>
  <c r="AQ63" i="28"/>
  <c r="AQ62" i="28"/>
  <c r="AQ61" i="28"/>
  <c r="AQ60" i="28"/>
  <c r="AQ59" i="28"/>
  <c r="AQ51" i="28"/>
  <c r="AQ50" i="28"/>
  <c r="AQ52" i="28" s="1"/>
  <c r="AQ44" i="28"/>
  <c r="AQ38" i="28"/>
  <c r="AP36" i="28"/>
  <c r="AO36" i="28"/>
  <c r="AN36" i="28"/>
  <c r="AM36" i="28"/>
  <c r="AL36" i="28"/>
  <c r="AK36" i="28"/>
  <c r="AJ36" i="28"/>
  <c r="AI36" i="28"/>
  <c r="AH36" i="28"/>
  <c r="AG36" i="28"/>
  <c r="AF36" i="28"/>
  <c r="AE36" i="28"/>
  <c r="AQ34" i="28"/>
  <c r="AQ33" i="28"/>
  <c r="AQ32" i="28"/>
  <c r="AQ31" i="28"/>
  <c r="AQ30" i="28"/>
  <c r="AQ29" i="28"/>
  <c r="AQ28" i="28"/>
  <c r="AQ27" i="28"/>
  <c r="AQ26" i="28"/>
  <c r="AQ25" i="28"/>
  <c r="AQ24" i="28"/>
  <c r="AQ23" i="28"/>
  <c r="AQ18" i="28"/>
  <c r="AP16" i="28"/>
  <c r="AP20" i="28"/>
  <c r="AO16" i="28"/>
  <c r="AO20" i="28" s="1"/>
  <c r="AN16" i="28"/>
  <c r="AN20" i="28"/>
  <c r="AM16" i="28"/>
  <c r="AM20" i="28" s="1"/>
  <c r="AL16" i="28"/>
  <c r="AL20" i="28"/>
  <c r="AK16" i="28"/>
  <c r="AK20" i="28" s="1"/>
  <c r="AJ16" i="28"/>
  <c r="AJ20" i="28"/>
  <c r="AI16" i="28"/>
  <c r="AI20" i="28" s="1"/>
  <c r="AH16" i="28"/>
  <c r="AH20" i="28"/>
  <c r="AG16" i="28"/>
  <c r="AG20" i="28" s="1"/>
  <c r="AF16" i="28"/>
  <c r="AF20" i="28"/>
  <c r="AE16" i="28"/>
  <c r="AE20" i="28" s="1"/>
  <c r="AQ14" i="28"/>
  <c r="AQ13" i="28"/>
  <c r="AQ16" i="28" s="1"/>
  <c r="AQ20" i="28" s="1"/>
  <c r="R72" i="28"/>
  <c r="S72" i="28"/>
  <c r="T72" i="28" s="1"/>
  <c r="U72" i="28" s="1"/>
  <c r="V72" i="28" s="1"/>
  <c r="W72" i="28" s="1"/>
  <c r="X72" i="28" s="1"/>
  <c r="Y72" i="28" s="1"/>
  <c r="Z72" i="28" s="1"/>
  <c r="AA72" i="28" s="1"/>
  <c r="AB72" i="28" s="1"/>
  <c r="AC72" i="28" s="1"/>
  <c r="D72" i="28"/>
  <c r="E72" i="28" s="1"/>
  <c r="F72" i="28" s="1"/>
  <c r="G72" i="28" s="1"/>
  <c r="H72" i="28" s="1"/>
  <c r="I72" i="28" s="1"/>
  <c r="J72" i="28" s="1"/>
  <c r="K72" i="28" s="1"/>
  <c r="L72" i="28" s="1"/>
  <c r="M72" i="28" s="1"/>
  <c r="N72" i="28" s="1"/>
  <c r="O72" i="28" s="1"/>
  <c r="AC64" i="28"/>
  <c r="O64" i="28"/>
  <c r="AC63" i="28"/>
  <c r="O63" i="28"/>
  <c r="AC62" i="28"/>
  <c r="O62" i="28"/>
  <c r="AC61" i="28"/>
  <c r="O61" i="28"/>
  <c r="V59" i="28"/>
  <c r="U59" i="28"/>
  <c r="T59" i="28"/>
  <c r="S59" i="28"/>
  <c r="R59" i="28"/>
  <c r="W52" i="28"/>
  <c r="V52" i="28"/>
  <c r="U52" i="28"/>
  <c r="T52" i="28"/>
  <c r="S52" i="28"/>
  <c r="R52" i="28"/>
  <c r="Q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AC51" i="28"/>
  <c r="O51" i="28"/>
  <c r="AC50" i="28"/>
  <c r="O50" i="28"/>
  <c r="O52" i="28" s="1"/>
  <c r="V44" i="28"/>
  <c r="U44" i="28"/>
  <c r="T44" i="28"/>
  <c r="S44" i="28"/>
  <c r="R44" i="28"/>
  <c r="Q44" i="28"/>
  <c r="O44" i="28"/>
  <c r="AB36" i="28"/>
  <c r="AA36" i="28"/>
  <c r="Z36" i="28"/>
  <c r="Y36" i="28"/>
  <c r="X36" i="28"/>
  <c r="W36" i="28"/>
  <c r="V36" i="28"/>
  <c r="U36" i="28"/>
  <c r="T36" i="28"/>
  <c r="S36" i="28"/>
  <c r="R36" i="28"/>
  <c r="Q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AC34" i="28"/>
  <c r="O34" i="28"/>
  <c r="AC33" i="28"/>
  <c r="O33" i="28"/>
  <c r="AC32" i="28"/>
  <c r="O32" i="28"/>
  <c r="AC31" i="28"/>
  <c r="O31" i="28"/>
  <c r="AC30" i="28"/>
  <c r="O30" i="28"/>
  <c r="AC29" i="28"/>
  <c r="O29" i="28"/>
  <c r="AC28" i="28"/>
  <c r="O28" i="28"/>
  <c r="AC27" i="28"/>
  <c r="O27" i="28"/>
  <c r="AC26" i="28"/>
  <c r="O26" i="28"/>
  <c r="AC25" i="28"/>
  <c r="O25" i="28"/>
  <c r="O23" i="28"/>
  <c r="O24" i="28"/>
  <c r="O36" i="28" s="1"/>
  <c r="AC24" i="28"/>
  <c r="AC23" i="28"/>
  <c r="AC36" i="28"/>
  <c r="AC18" i="28"/>
  <c r="O18" i="28"/>
  <c r="AB16" i="28"/>
  <c r="AB20" i="28"/>
  <c r="AA16" i="28"/>
  <c r="AA20" i="28" s="1"/>
  <c r="Z16" i="28"/>
  <c r="Z20" i="28"/>
  <c r="Y16" i="28"/>
  <c r="Y20" i="28" s="1"/>
  <c r="X16" i="28"/>
  <c r="X20" i="28"/>
  <c r="W16" i="28"/>
  <c r="W20" i="28" s="1"/>
  <c r="V16" i="28"/>
  <c r="V20" i="28"/>
  <c r="U16" i="28"/>
  <c r="U20" i="28" s="1"/>
  <c r="T16" i="28"/>
  <c r="T20" i="28"/>
  <c r="S16" i="28"/>
  <c r="S20" i="28" s="1"/>
  <c r="R16" i="28"/>
  <c r="R20" i="28"/>
  <c r="Q16" i="28"/>
  <c r="Q20" i="28" s="1"/>
  <c r="N16" i="28"/>
  <c r="N20" i="28"/>
  <c r="M16" i="28"/>
  <c r="M20" i="28" s="1"/>
  <c r="L16" i="28"/>
  <c r="L20" i="28"/>
  <c r="K16" i="28"/>
  <c r="K20" i="28" s="1"/>
  <c r="J16" i="28"/>
  <c r="J20" i="28"/>
  <c r="I16" i="28"/>
  <c r="I20" i="28" s="1"/>
  <c r="H16" i="28"/>
  <c r="H20" i="28"/>
  <c r="G16" i="28"/>
  <c r="G20" i="28" s="1"/>
  <c r="F16" i="28"/>
  <c r="F20" i="28"/>
  <c r="E16" i="28"/>
  <c r="E20" i="28" s="1"/>
  <c r="D16" i="28"/>
  <c r="D20" i="28"/>
  <c r="C16" i="28"/>
  <c r="C20" i="28" s="1"/>
  <c r="AC14" i="28"/>
  <c r="O14" i="28"/>
  <c r="AC13" i="28"/>
  <c r="O13" i="28"/>
  <c r="O16" i="28" s="1"/>
  <c r="O20" i="28" s="1"/>
  <c r="O9" i="28"/>
  <c r="A1" i="28"/>
  <c r="AJ43" i="27"/>
  <c r="AI43" i="27"/>
  <c r="AH43" i="27"/>
  <c r="AG43" i="27"/>
  <c r="AF43" i="27"/>
  <c r="AE43" i="27"/>
  <c r="AJ34" i="27"/>
  <c r="AJ45" i="27" s="1"/>
  <c r="AI34" i="27"/>
  <c r="AI45" i="27"/>
  <c r="AH34" i="27"/>
  <c r="AG34" i="27"/>
  <c r="AG45" i="27"/>
  <c r="AG15" i="27"/>
  <c r="AG25" i="27" s="1"/>
  <c r="AG47" i="27" s="1"/>
  <c r="AG20" i="27"/>
  <c r="AG22" i="27" s="1"/>
  <c r="AF34" i="27"/>
  <c r="AF45" i="27" s="1"/>
  <c r="AE34" i="27"/>
  <c r="AE45" i="27"/>
  <c r="AE20" i="27"/>
  <c r="AE22" i="27" s="1"/>
  <c r="AE25" i="27" s="1"/>
  <c r="AJ20" i="27"/>
  <c r="AJ22" i="27"/>
  <c r="AI20" i="27"/>
  <c r="AI22" i="27" s="1"/>
  <c r="AI25" i="27" s="1"/>
  <c r="AI15" i="27"/>
  <c r="AH20" i="27"/>
  <c r="AH22" i="27" s="1"/>
  <c r="AF20" i="27"/>
  <c r="AF22" i="27"/>
  <c r="AJ15" i="27"/>
  <c r="AJ25" i="27" s="1"/>
  <c r="AJ47" i="27" s="1"/>
  <c r="AH15" i="27"/>
  <c r="AH25" i="27" s="1"/>
  <c r="AH47" i="27" s="1"/>
  <c r="AF15" i="27"/>
  <c r="AE15" i="27"/>
  <c r="AP43" i="27"/>
  <c r="AO43" i="27"/>
  <c r="AN43" i="27"/>
  <c r="AM43" i="27"/>
  <c r="AL43" i="27"/>
  <c r="AK43" i="27"/>
  <c r="AP34" i="27"/>
  <c r="AP45" i="27"/>
  <c r="AO34" i="27"/>
  <c r="AN34" i="27"/>
  <c r="AN45" i="27" s="1"/>
  <c r="AM34" i="27"/>
  <c r="AM45" i="27" s="1"/>
  <c r="AM47" i="27" s="1"/>
  <c r="AL34" i="27"/>
  <c r="AK34" i="27"/>
  <c r="AK45" i="27"/>
  <c r="AK20" i="27"/>
  <c r="AK22" i="27" s="1"/>
  <c r="AK25" i="27" s="1"/>
  <c r="AK47" i="27" s="1"/>
  <c r="AP20" i="27"/>
  <c r="AP22" i="27"/>
  <c r="AO20" i="27"/>
  <c r="AO22" i="27" s="1"/>
  <c r="AO25" i="27" s="1"/>
  <c r="AO47" i="27" s="1"/>
  <c r="AO15" i="27"/>
  <c r="AN20" i="27"/>
  <c r="AN22" i="27" s="1"/>
  <c r="AM20" i="27"/>
  <c r="AM22" i="27"/>
  <c r="AL20" i="27"/>
  <c r="AL22" i="27" s="1"/>
  <c r="AP15" i="27"/>
  <c r="AP25" i="27"/>
  <c r="AN15" i="27"/>
  <c r="AM15" i="27"/>
  <c r="AM25" i="27"/>
  <c r="AL15" i="27"/>
  <c r="AK15" i="27"/>
  <c r="AB43" i="27"/>
  <c r="AA43" i="27"/>
  <c r="Z43" i="27"/>
  <c r="Y43" i="27"/>
  <c r="X43" i="27"/>
  <c r="AB34" i="27"/>
  <c r="AB45" i="27" s="1"/>
  <c r="AA34" i="27"/>
  <c r="AA45" i="27"/>
  <c r="Z34" i="27"/>
  <c r="Y34" i="27"/>
  <c r="Y45" i="27"/>
  <c r="X34" i="27"/>
  <c r="X45" i="27" s="1"/>
  <c r="AB20" i="27"/>
  <c r="AB22" i="27"/>
  <c r="AA20" i="27"/>
  <c r="AA22" i="27" s="1"/>
  <c r="AA25" i="27" s="1"/>
  <c r="AA47" i="27" s="1"/>
  <c r="Z20" i="27"/>
  <c r="Z22" i="27"/>
  <c r="Y20" i="27"/>
  <c r="Y22" i="27" s="1"/>
  <c r="Y25" i="27" s="1"/>
  <c r="Y47" i="27" s="1"/>
  <c r="Y15" i="27"/>
  <c r="X20" i="27"/>
  <c r="X22" i="27" s="1"/>
  <c r="AB15" i="27"/>
  <c r="AA15" i="27"/>
  <c r="Z15" i="27"/>
  <c r="X15" i="27"/>
  <c r="AP41" i="26"/>
  <c r="AO41" i="26"/>
  <c r="AN41" i="26"/>
  <c r="AM41" i="26"/>
  <c r="AL41" i="26"/>
  <c r="AK41" i="26"/>
  <c r="AJ41" i="26"/>
  <c r="AI41" i="26"/>
  <c r="AH41" i="26"/>
  <c r="AG41" i="26"/>
  <c r="AF41" i="26"/>
  <c r="AE41" i="26"/>
  <c r="AB41" i="26"/>
  <c r="AA41" i="26"/>
  <c r="Z41" i="26"/>
  <c r="Y41" i="26"/>
  <c r="X41" i="26"/>
  <c r="W41" i="26"/>
  <c r="AQ39" i="26"/>
  <c r="AC39" i="26"/>
  <c r="O39" i="26"/>
  <c r="AQ38" i="26"/>
  <c r="AQ41" i="26"/>
  <c r="AP34" i="26"/>
  <c r="AO34" i="26"/>
  <c r="AN34" i="26"/>
  <c r="AM34" i="26"/>
  <c r="AL34" i="26"/>
  <c r="AK34" i="26"/>
  <c r="AJ34" i="26"/>
  <c r="AI34" i="26"/>
  <c r="AH34" i="26"/>
  <c r="AG34" i="26"/>
  <c r="AF34" i="26"/>
  <c r="AE34" i="26"/>
  <c r="AB34" i="26"/>
  <c r="AA34" i="26"/>
  <c r="Z34" i="26"/>
  <c r="Y34" i="26"/>
  <c r="X34" i="26"/>
  <c r="W34" i="26"/>
  <c r="AQ32" i="26"/>
  <c r="AQ31" i="26"/>
  <c r="AQ30" i="26"/>
  <c r="AC30" i="26"/>
  <c r="O30" i="26"/>
  <c r="AQ29" i="26"/>
  <c r="AQ28" i="26"/>
  <c r="AQ27" i="26"/>
  <c r="AQ26" i="26"/>
  <c r="AQ25" i="26"/>
  <c r="AQ24" i="26"/>
  <c r="AQ23" i="26"/>
  <c r="AQ22" i="26"/>
  <c r="AQ21" i="26"/>
  <c r="AQ34" i="26" s="1"/>
  <c r="AC21" i="26"/>
  <c r="AQ20" i="26"/>
  <c r="AQ15" i="26"/>
  <c r="AP13" i="26"/>
  <c r="AP17" i="26"/>
  <c r="AP36" i="26"/>
  <c r="AP43" i="26" s="1"/>
  <c r="AP46" i="26" s="1"/>
  <c r="AO13" i="26"/>
  <c r="AO17" i="26"/>
  <c r="AO36" i="26" s="1"/>
  <c r="AO43" i="26" s="1"/>
  <c r="AO46" i="26" s="1"/>
  <c r="AN13" i="26"/>
  <c r="AN17" i="26" s="1"/>
  <c r="AN36" i="26" s="1"/>
  <c r="AN43" i="26" s="1"/>
  <c r="AN46" i="26" s="1"/>
  <c r="AM13" i="26"/>
  <c r="AM17" i="26" s="1"/>
  <c r="AM36" i="26" s="1"/>
  <c r="AM43" i="26" s="1"/>
  <c r="AM46" i="26" s="1"/>
  <c r="AL13" i="26"/>
  <c r="AL17" i="26" s="1"/>
  <c r="AL36" i="26" s="1"/>
  <c r="AL43" i="26" s="1"/>
  <c r="AL46" i="26" s="1"/>
  <c r="AK13" i="26"/>
  <c r="AK17" i="26"/>
  <c r="AK36" i="26" s="1"/>
  <c r="AK43" i="26" s="1"/>
  <c r="AK46" i="26" s="1"/>
  <c r="AJ13" i="26"/>
  <c r="AJ17" i="26" s="1"/>
  <c r="AJ36" i="26" s="1"/>
  <c r="AJ43" i="26" s="1"/>
  <c r="AJ46" i="26" s="1"/>
  <c r="AI13" i="26"/>
  <c r="AI17" i="26" s="1"/>
  <c r="AI36" i="26" s="1"/>
  <c r="AI43" i="26" s="1"/>
  <c r="AI46" i="26" s="1"/>
  <c r="AH13" i="26"/>
  <c r="AH17" i="26" s="1"/>
  <c r="AH36" i="26" s="1"/>
  <c r="AH43" i="26" s="1"/>
  <c r="AH46" i="26" s="1"/>
  <c r="AG13" i="26"/>
  <c r="AG17" i="26"/>
  <c r="AG36" i="26" s="1"/>
  <c r="AG43" i="26" s="1"/>
  <c r="AG46" i="26" s="1"/>
  <c r="AF13" i="26"/>
  <c r="AF17" i="26" s="1"/>
  <c r="AF36" i="26" s="1"/>
  <c r="AF43" i="26" s="1"/>
  <c r="AF46" i="26" s="1"/>
  <c r="AE13" i="26"/>
  <c r="AE17" i="26" s="1"/>
  <c r="AE36" i="26" s="1"/>
  <c r="AE43" i="26" s="1"/>
  <c r="AE46" i="26" s="1"/>
  <c r="AB13" i="26"/>
  <c r="AB17" i="26" s="1"/>
  <c r="AB36" i="26" s="1"/>
  <c r="AB43" i="26" s="1"/>
  <c r="AB46" i="26" s="1"/>
  <c r="AA13" i="26"/>
  <c r="AA17" i="26"/>
  <c r="AA36" i="26" s="1"/>
  <c r="AA43" i="26" s="1"/>
  <c r="AA46" i="26" s="1"/>
  <c r="Z13" i="26"/>
  <c r="Z17" i="26" s="1"/>
  <c r="Z36" i="26" s="1"/>
  <c r="Z43" i="26" s="1"/>
  <c r="Z46" i="26" s="1"/>
  <c r="Y13" i="26"/>
  <c r="Y17" i="26" s="1"/>
  <c r="Y36" i="26" s="1"/>
  <c r="Y43" i="26" s="1"/>
  <c r="Y46" i="26" s="1"/>
  <c r="X13" i="26"/>
  <c r="X17" i="26" s="1"/>
  <c r="X36" i="26" s="1"/>
  <c r="X43" i="26" s="1"/>
  <c r="X46" i="26" s="1"/>
  <c r="W13" i="26"/>
  <c r="W17" i="26"/>
  <c r="W36" i="26" s="1"/>
  <c r="W43" i="26" s="1"/>
  <c r="W46" i="26" s="1"/>
  <c r="AQ11" i="26"/>
  <c r="AC11" i="26"/>
  <c r="O11" i="26"/>
  <c r="AQ10" i="26"/>
  <c r="AQ13" i="26"/>
  <c r="AQ17" i="26" s="1"/>
  <c r="AQ36" i="26" s="1"/>
  <c r="AQ43" i="26" s="1"/>
  <c r="AQ46" i="26" s="1"/>
  <c r="AC10" i="26"/>
  <c r="AC13" i="26" s="1"/>
  <c r="S60" i="28"/>
  <c r="AB36" i="12"/>
  <c r="AA36" i="12"/>
  <c r="Z36" i="12"/>
  <c r="Y36" i="12"/>
  <c r="X36" i="12"/>
  <c r="W36" i="12"/>
  <c r="V36" i="12"/>
  <c r="U36" i="12"/>
  <c r="T36" i="12"/>
  <c r="S36" i="12"/>
  <c r="R36" i="12"/>
  <c r="Q36" i="12"/>
  <c r="AB16" i="12"/>
  <c r="AB20" i="12" s="1"/>
  <c r="AA16" i="12"/>
  <c r="AA20" i="12"/>
  <c r="Z16" i="12"/>
  <c r="Z20" i="12" s="1"/>
  <c r="Y16" i="12"/>
  <c r="Y20" i="12"/>
  <c r="X16" i="12"/>
  <c r="X20" i="12" s="1"/>
  <c r="W16" i="12"/>
  <c r="W20" i="12"/>
  <c r="V16" i="12"/>
  <c r="V20" i="12" s="1"/>
  <c r="U16" i="12"/>
  <c r="U20" i="12"/>
  <c r="T16" i="12"/>
  <c r="T20" i="12" s="1"/>
  <c r="S16" i="12"/>
  <c r="S20" i="12"/>
  <c r="R16" i="12"/>
  <c r="R20" i="12" s="1"/>
  <c r="Q16" i="12"/>
  <c r="Q20" i="12"/>
  <c r="N36" i="12"/>
  <c r="M36" i="12"/>
  <c r="L36" i="12"/>
  <c r="K36" i="12"/>
  <c r="J36" i="12"/>
  <c r="I36" i="12"/>
  <c r="H36" i="12"/>
  <c r="G36" i="12"/>
  <c r="F36" i="12"/>
  <c r="E36" i="12"/>
  <c r="D36" i="12"/>
  <c r="N16" i="12"/>
  <c r="N20" i="12" s="1"/>
  <c r="M16" i="12"/>
  <c r="M20" i="12" s="1"/>
  <c r="L16" i="12"/>
  <c r="L20" i="12" s="1"/>
  <c r="K16" i="12"/>
  <c r="K20" i="12" s="1"/>
  <c r="J16" i="12"/>
  <c r="J20" i="12" s="1"/>
  <c r="I16" i="12"/>
  <c r="I20" i="12" s="1"/>
  <c r="H16" i="12"/>
  <c r="H20" i="12" s="1"/>
  <c r="G16" i="12"/>
  <c r="G20" i="12" s="1"/>
  <c r="F16" i="12"/>
  <c r="F20" i="12" s="1"/>
  <c r="E16" i="12"/>
  <c r="E20" i="12" s="1"/>
  <c r="D16" i="12"/>
  <c r="D20" i="12" s="1"/>
  <c r="AC34" i="12"/>
  <c r="AC33" i="12"/>
  <c r="AC32" i="12"/>
  <c r="AC31" i="12"/>
  <c r="AC29" i="12"/>
  <c r="AC28" i="12"/>
  <c r="AC27" i="12"/>
  <c r="AC26" i="12"/>
  <c r="AC24" i="12"/>
  <c r="AC23" i="12"/>
  <c r="AC14" i="12"/>
  <c r="D19" i="27"/>
  <c r="D20" i="27" s="1"/>
  <c r="D22" i="27" s="1"/>
  <c r="O42" i="21"/>
  <c r="O24" i="21"/>
  <c r="O14" i="21"/>
  <c r="C43" i="28"/>
  <c r="D43" i="28" s="1"/>
  <c r="O14" i="12"/>
  <c r="O23" i="12"/>
  <c r="C36" i="12"/>
  <c r="O26" i="12"/>
  <c r="O27" i="12"/>
  <c r="O28" i="12"/>
  <c r="O29" i="12"/>
  <c r="O30" i="12"/>
  <c r="O31" i="12"/>
  <c r="O32" i="12"/>
  <c r="O33" i="12"/>
  <c r="O34" i="12"/>
  <c r="C16" i="12"/>
  <c r="C20" i="12"/>
  <c r="O24" i="12"/>
  <c r="O13" i="12"/>
  <c r="O18" i="12"/>
  <c r="C22" i="22"/>
  <c r="O16" i="12"/>
  <c r="O20" i="12" s="1"/>
  <c r="O25" i="12"/>
  <c r="AC30" i="12"/>
  <c r="AC13" i="12"/>
  <c r="AC16" i="12" s="1"/>
  <c r="AC20" i="12" s="1"/>
  <c r="AC18" i="12"/>
  <c r="AC25" i="12"/>
  <c r="AQ57" i="28"/>
  <c r="AQ58" i="28"/>
  <c r="AQ65" i="28" s="1"/>
  <c r="AC16" i="28"/>
  <c r="AC20" i="28" s="1"/>
  <c r="W65" i="28"/>
  <c r="O21" i="26"/>
  <c r="W15" i="27"/>
  <c r="W25" i="27" s="1"/>
  <c r="W45" i="28"/>
  <c r="W67" i="28" s="1"/>
  <c r="W20" i="27"/>
  <c r="W22" i="27"/>
  <c r="W34" i="27"/>
  <c r="W45" i="27" s="1"/>
  <c r="W43" i="27"/>
  <c r="AQ43" i="28"/>
  <c r="AQ45" i="28" s="1"/>
  <c r="AQ67" i="28" s="1"/>
  <c r="O33" i="21"/>
  <c r="N57" i="28"/>
  <c r="N58" i="28" s="1"/>
  <c r="C45" i="28"/>
  <c r="E37" i="21"/>
  <c r="U60" i="28"/>
  <c r="R57" i="28"/>
  <c r="R58" i="28"/>
  <c r="R65" i="28" s="1"/>
  <c r="E34" i="26"/>
  <c r="E36" i="26"/>
  <c r="S22" i="26"/>
  <c r="S25" i="21"/>
  <c r="F28" i="26"/>
  <c r="S31" i="26"/>
  <c r="S34" i="21"/>
  <c r="T24" i="26"/>
  <c r="T27" i="21"/>
  <c r="S25" i="26"/>
  <c r="S28" i="21"/>
  <c r="F22" i="26"/>
  <c r="F31" i="26"/>
  <c r="F25" i="26"/>
  <c r="S29" i="26"/>
  <c r="S32" i="21"/>
  <c r="S23" i="26"/>
  <c r="S26" i="21"/>
  <c r="S28" i="26"/>
  <c r="S31" i="21"/>
  <c r="F29" i="26"/>
  <c r="T26" i="26"/>
  <c r="T29" i="21"/>
  <c r="F23" i="26"/>
  <c r="AC36" i="12"/>
  <c r="AQ36" i="12"/>
  <c r="AL45" i="27"/>
  <c r="AP47" i="27"/>
  <c r="AB25" i="27"/>
  <c r="AB47" i="27" s="1"/>
  <c r="C20" i="27"/>
  <c r="C22" i="27"/>
  <c r="Z25" i="27"/>
  <c r="Z47" i="27" s="1"/>
  <c r="O36" i="12"/>
  <c r="V60" i="28"/>
  <c r="V57" i="28"/>
  <c r="V65" i="28" s="1"/>
  <c r="V58" i="28"/>
  <c r="Q57" i="28"/>
  <c r="K20" i="21"/>
  <c r="K21" i="21"/>
  <c r="F15" i="29"/>
  <c r="J15" i="29"/>
  <c r="N15" i="29"/>
  <c r="O15" i="29"/>
  <c r="G20" i="21"/>
  <c r="G21" i="21" s="1"/>
  <c r="C18" i="32"/>
  <c r="E18" i="32"/>
  <c r="M16" i="32"/>
  <c r="R39" i="21"/>
  <c r="E17" i="31"/>
  <c r="C30" i="31"/>
  <c r="C39" i="31"/>
  <c r="D18" i="31"/>
  <c r="D17" i="31"/>
  <c r="I25" i="29"/>
  <c r="J10" i="21"/>
  <c r="T13" i="29"/>
  <c r="F10" i="21"/>
  <c r="I17" i="29"/>
  <c r="H17" i="29"/>
  <c r="N10" i="21"/>
  <c r="C17" i="29"/>
  <c r="T57" i="28"/>
  <c r="T58" i="28"/>
  <c r="R60" i="28"/>
  <c r="F21" i="22"/>
  <c r="E20" i="31"/>
  <c r="Q60" i="28"/>
  <c r="AC60" i="28" s="1"/>
  <c r="T60" i="28"/>
  <c r="L17" i="29"/>
  <c r="D17" i="29"/>
  <c r="C9" i="35"/>
  <c r="AI47" i="27"/>
  <c r="K21" i="29"/>
  <c r="K41" i="29" s="1"/>
  <c r="Z45" i="27"/>
  <c r="AO45" i="27"/>
  <c r="AE47" i="27"/>
  <c r="AC52" i="28"/>
  <c r="X25" i="27"/>
  <c r="X47" i="27" s="1"/>
  <c r="AF25" i="27"/>
  <c r="AF47" i="27"/>
  <c r="AH45" i="27"/>
  <c r="AC44" i="28"/>
  <c r="AQ36" i="28"/>
  <c r="C21" i="35"/>
  <c r="C36" i="35" s="1"/>
  <c r="C40" i="35" s="1"/>
  <c r="D38" i="35" s="1"/>
  <c r="T31" i="26"/>
  <c r="T34" i="21"/>
  <c r="T29" i="26"/>
  <c r="T32" i="21"/>
  <c r="T25" i="26"/>
  <c r="T28" i="21"/>
  <c r="G31" i="26"/>
  <c r="T28" i="26"/>
  <c r="T31" i="21"/>
  <c r="G29" i="26"/>
  <c r="G25" i="26"/>
  <c r="T22" i="26"/>
  <c r="T25" i="21"/>
  <c r="C47" i="30"/>
  <c r="C49" i="26"/>
  <c r="D22" i="22"/>
  <c r="E19" i="27"/>
  <c r="E20" i="27" s="1"/>
  <c r="E22" i="27" s="1"/>
  <c r="D41" i="27"/>
  <c r="E17" i="29"/>
  <c r="O21" i="30"/>
  <c r="G17" i="29"/>
  <c r="F20" i="21"/>
  <c r="H25" i="29"/>
  <c r="K25" i="29"/>
  <c r="N25" i="29"/>
  <c r="H20" i="21"/>
  <c r="H21" i="21" s="1"/>
  <c r="J25" i="29"/>
  <c r="J20" i="21"/>
  <c r="J21" i="21"/>
  <c r="L25" i="29"/>
  <c r="M20" i="21"/>
  <c r="Q25" i="29"/>
  <c r="M25" i="29"/>
  <c r="E20" i="21"/>
  <c r="E39" i="21" s="1"/>
  <c r="G25" i="29"/>
  <c r="D20" i="21"/>
  <c r="D39" i="21"/>
  <c r="F25" i="29"/>
  <c r="E25" i="29"/>
  <c r="C19" i="32"/>
  <c r="H16" i="32"/>
  <c r="D19" i="31"/>
  <c r="D21" i="31" s="1"/>
  <c r="F17" i="31"/>
  <c r="G17" i="31"/>
  <c r="H17" i="31"/>
  <c r="D39" i="31"/>
  <c r="F19" i="27"/>
  <c r="F20" i="27"/>
  <c r="E18" i="31"/>
  <c r="E19" i="31"/>
  <c r="E21" i="31"/>
  <c r="N20" i="21"/>
  <c r="N59" i="28"/>
  <c r="N60" i="28"/>
  <c r="I20" i="21"/>
  <c r="I59" i="28"/>
  <c r="I60" i="28" s="1"/>
  <c r="E21" i="21"/>
  <c r="W10" i="30"/>
  <c r="AK10" i="30"/>
  <c r="J17" i="29"/>
  <c r="M21" i="29"/>
  <c r="M41" i="29"/>
  <c r="G21" i="29"/>
  <c r="G41" i="29" s="1"/>
  <c r="L21" i="29"/>
  <c r="L41" i="29" s="1"/>
  <c r="H21" i="29"/>
  <c r="H41" i="29" s="1"/>
  <c r="I21" i="29"/>
  <c r="I41" i="29"/>
  <c r="O10" i="26"/>
  <c r="O13" i="26" s="1"/>
  <c r="O17" i="26" s="1"/>
  <c r="C13" i="26"/>
  <c r="F21" i="29"/>
  <c r="F41" i="29" s="1"/>
  <c r="F40" i="29" s="1"/>
  <c r="E21" i="29"/>
  <c r="E41" i="29" s="1"/>
  <c r="E40" i="29" s="1"/>
  <c r="O13" i="21"/>
  <c r="C16" i="21"/>
  <c r="J21" i="29"/>
  <c r="J41" i="29" s="1"/>
  <c r="N21" i="29"/>
  <c r="N41" i="29" s="1"/>
  <c r="AB10" i="30"/>
  <c r="AP10" i="30"/>
  <c r="D21" i="21"/>
  <c r="U29" i="26"/>
  <c r="U32" i="21"/>
  <c r="U31" i="26"/>
  <c r="U34" i="21"/>
  <c r="E22" i="22"/>
  <c r="L21" i="21"/>
  <c r="M21" i="21"/>
  <c r="H17" i="32"/>
  <c r="G19" i="32"/>
  <c r="J18" i="32"/>
  <c r="I17" i="31"/>
  <c r="F18" i="31"/>
  <c r="F19" i="31"/>
  <c r="G19" i="27"/>
  <c r="G20" i="27" s="1"/>
  <c r="I65" i="28"/>
  <c r="N65" i="28"/>
  <c r="N21" i="21"/>
  <c r="I21" i="21"/>
  <c r="C40" i="31"/>
  <c r="C41" i="31" s="1"/>
  <c r="J57" i="28"/>
  <c r="J58" i="28" s="1"/>
  <c r="K59" i="28"/>
  <c r="K60" i="28"/>
  <c r="M57" i="28"/>
  <c r="M58" i="28" s="1"/>
  <c r="C20" i="21"/>
  <c r="C57" i="28"/>
  <c r="C58" i="28"/>
  <c r="F31" i="29"/>
  <c r="D59" i="28"/>
  <c r="D60" i="28"/>
  <c r="C34" i="26"/>
  <c r="G57" i="28"/>
  <c r="G58" i="28" s="1"/>
  <c r="G65" i="28" s="1"/>
  <c r="L59" i="28"/>
  <c r="L60" i="28"/>
  <c r="C37" i="21"/>
  <c r="C17" i="26"/>
  <c r="F59" i="28"/>
  <c r="F60" i="28" s="1"/>
  <c r="J17" i="31"/>
  <c r="O10" i="21"/>
  <c r="O16" i="21"/>
  <c r="D57" i="28"/>
  <c r="D58" i="28" s="1"/>
  <c r="G59" i="28"/>
  <c r="G60" i="28"/>
  <c r="J59" i="28"/>
  <c r="J60" i="28" s="1"/>
  <c r="E57" i="28"/>
  <c r="E58" i="28" s="1"/>
  <c r="E65" i="28" s="1"/>
  <c r="K57" i="28"/>
  <c r="K58" i="28" s="1"/>
  <c r="K65" i="28" s="1"/>
  <c r="O43" i="28"/>
  <c r="O45" i="28" s="1"/>
  <c r="H59" i="28"/>
  <c r="H60" i="28" s="1"/>
  <c r="L57" i="28"/>
  <c r="L58" i="28" s="1"/>
  <c r="L65" i="28" s="1"/>
  <c r="H57" i="28"/>
  <c r="H58" i="28" s="1"/>
  <c r="H65" i="28" s="1"/>
  <c r="M59" i="28"/>
  <c r="M60" i="28" s="1"/>
  <c r="E31" i="29"/>
  <c r="C59" i="28"/>
  <c r="C60" i="28"/>
  <c r="O18" i="21"/>
  <c r="O20" i="21" s="1"/>
  <c r="O15" i="26"/>
  <c r="F57" i="28"/>
  <c r="F58" i="28" s="1"/>
  <c r="F65" i="28" s="1"/>
  <c r="E59" i="28"/>
  <c r="E60" i="28"/>
  <c r="X10" i="30"/>
  <c r="AL10" i="30"/>
  <c r="Y10" i="30"/>
  <c r="AM10" i="30" s="1"/>
  <c r="AA10" i="30"/>
  <c r="AO10" i="30"/>
  <c r="Z10" i="30"/>
  <c r="AN10" i="30" s="1"/>
  <c r="F22" i="22"/>
  <c r="M19" i="32"/>
  <c r="H18" i="32"/>
  <c r="H19" i="27"/>
  <c r="H20" i="27"/>
  <c r="G18" i="31"/>
  <c r="G19" i="31"/>
  <c r="C36" i="26"/>
  <c r="O57" i="28"/>
  <c r="O59" i="28"/>
  <c r="C21" i="21"/>
  <c r="C39" i="21"/>
  <c r="C22" i="32"/>
  <c r="E22" i="32" s="1"/>
  <c r="I19" i="27"/>
  <c r="I20" i="27" s="1"/>
  <c r="H18" i="31"/>
  <c r="H19" i="31"/>
  <c r="C65" i="28"/>
  <c r="C12" i="31"/>
  <c r="D14" i="35"/>
  <c r="D12" i="27"/>
  <c r="D13" i="31"/>
  <c r="C23" i="32"/>
  <c r="E23" i="32"/>
  <c r="G22" i="32"/>
  <c r="D12" i="31"/>
  <c r="D26" i="29"/>
  <c r="J19" i="27"/>
  <c r="J20" i="27" s="1"/>
  <c r="I18" i="31"/>
  <c r="I19" i="31"/>
  <c r="C11" i="31"/>
  <c r="D13" i="35"/>
  <c r="E14" i="35"/>
  <c r="E26" i="29"/>
  <c r="E12" i="27"/>
  <c r="D22" i="29"/>
  <c r="D11" i="27"/>
  <c r="E13" i="31"/>
  <c r="C24" i="32"/>
  <c r="E24" i="32" s="1"/>
  <c r="G23" i="32"/>
  <c r="M22" i="32"/>
  <c r="K19" i="27"/>
  <c r="J18" i="31"/>
  <c r="J19" i="31" s="1"/>
  <c r="D11" i="31"/>
  <c r="E12" i="31"/>
  <c r="AQ23" i="30"/>
  <c r="E24" i="29"/>
  <c r="E13" i="35"/>
  <c r="E22" i="29"/>
  <c r="E20" i="29" s="1"/>
  <c r="E11" i="27"/>
  <c r="M23" i="32"/>
  <c r="G24" i="32"/>
  <c r="C25" i="32"/>
  <c r="E25" i="32"/>
  <c r="L19" i="27"/>
  <c r="K18" i="31"/>
  <c r="E11" i="31"/>
  <c r="M24" i="32"/>
  <c r="C26" i="32"/>
  <c r="E26" i="32" s="1"/>
  <c r="M19" i="27"/>
  <c r="L18" i="31"/>
  <c r="J23" i="32"/>
  <c r="H23" i="32"/>
  <c r="C27" i="32"/>
  <c r="E27" i="32"/>
  <c r="J25" i="32"/>
  <c r="G26" i="32"/>
  <c r="N19" i="27"/>
  <c r="M18" i="31"/>
  <c r="M26" i="32"/>
  <c r="H25" i="32"/>
  <c r="G27" i="32"/>
  <c r="Q19" i="27"/>
  <c r="N18" i="31"/>
  <c r="J27" i="32"/>
  <c r="M27" i="32"/>
  <c r="H27" i="32"/>
  <c r="R19" i="27"/>
  <c r="Q18" i="31"/>
  <c r="S19" i="27"/>
  <c r="R18" i="31"/>
  <c r="T19" i="27"/>
  <c r="S18" i="31"/>
  <c r="U19" i="27"/>
  <c r="T18" i="31"/>
  <c r="V19" i="27"/>
  <c r="U18" i="31"/>
  <c r="V18" i="31"/>
  <c r="C41" i="26"/>
  <c r="C43" i="26"/>
  <c r="C46" i="26" s="1"/>
  <c r="C44" i="21"/>
  <c r="C46" i="21" s="1"/>
  <c r="C49" i="21" s="1"/>
  <c r="C38" i="28" s="1"/>
  <c r="C50" i="26"/>
  <c r="C43" i="27"/>
  <c r="C43" i="22"/>
  <c r="C34" i="27"/>
  <c r="C31" i="31"/>
  <c r="C32" i="31" s="1"/>
  <c r="C45" i="27"/>
  <c r="C45" i="22"/>
  <c r="C50" i="27" s="1"/>
  <c r="C35" i="31"/>
  <c r="C51" i="27"/>
  <c r="D31" i="31"/>
  <c r="D35" i="31"/>
  <c r="E31" i="31"/>
  <c r="E35" i="31"/>
  <c r="F31" i="31"/>
  <c r="F35" i="31"/>
  <c r="G35" i="31"/>
  <c r="W9" i="30"/>
  <c r="AK9" i="30"/>
  <c r="X9" i="30"/>
  <c r="AL9" i="30" s="1"/>
  <c r="AQ30" i="30"/>
  <c r="AQ51" i="12"/>
  <c r="AQ53" i="12"/>
  <c r="AQ31" i="34"/>
  <c r="AE10" i="30"/>
  <c r="AF10" i="30"/>
  <c r="C43" i="31" l="1"/>
  <c r="C67" i="28"/>
  <c r="C70" i="28" s="1"/>
  <c r="J26" i="32"/>
  <c r="H26" i="32"/>
  <c r="H24" i="32"/>
  <c r="J24" i="32"/>
  <c r="O21" i="21"/>
  <c r="H22" i="32"/>
  <c r="J22" i="32"/>
  <c r="D65" i="28"/>
  <c r="O58" i="28"/>
  <c r="O65" i="28" s="1"/>
  <c r="O60" i="28"/>
  <c r="J65" i="28"/>
  <c r="M65" i="28"/>
  <c r="F21" i="27"/>
  <c r="F22" i="27" s="1"/>
  <c r="F20" i="31"/>
  <c r="F21" i="31" s="1"/>
  <c r="G21" i="22"/>
  <c r="T65" i="28"/>
  <c r="Q58" i="28"/>
  <c r="W47" i="27"/>
  <c r="AN25" i="27"/>
  <c r="AN47" i="27" s="1"/>
  <c r="S20" i="21"/>
  <c r="S57" i="28"/>
  <c r="U20" i="21"/>
  <c r="U57" i="28"/>
  <c r="E19" i="32"/>
  <c r="B20" i="32"/>
  <c r="AL25" i="27"/>
  <c r="AL47" i="27" s="1"/>
  <c r="O10" i="29"/>
  <c r="F40" i="22"/>
  <c r="E40" i="27"/>
  <c r="E38" i="31"/>
  <c r="F21" i="21"/>
  <c r="D45" i="28"/>
  <c r="E43" i="28"/>
  <c r="H14" i="32"/>
  <c r="J14" i="32"/>
  <c r="J15" i="32"/>
  <c r="H15" i="32"/>
  <c r="L32" i="32"/>
  <c r="AB11" i="42"/>
  <c r="AA15" i="42"/>
  <c r="G13" i="32"/>
  <c r="X18" i="38"/>
  <c r="X20" i="38" s="1"/>
  <c r="D36" i="38"/>
  <c r="D43" i="38" s="1"/>
  <c r="D21" i="38"/>
  <c r="AD31" i="38"/>
  <c r="T21" i="38"/>
  <c r="E13" i="32"/>
  <c r="J13" i="32" s="1"/>
  <c r="D27" i="35"/>
  <c r="I40" i="39"/>
  <c r="C46" i="38"/>
  <c r="C44" i="38"/>
  <c r="H14" i="41"/>
  <c r="AA31" i="38"/>
  <c r="AB31" i="38" s="1"/>
  <c r="AC31" i="38" s="1"/>
  <c r="E32" i="38"/>
  <c r="T28" i="38"/>
  <c r="M23" i="38"/>
  <c r="O18" i="38"/>
  <c r="O20" i="38" s="1"/>
  <c r="R27" i="38"/>
  <c r="E27" i="38"/>
  <c r="W13" i="38"/>
  <c r="G33" i="39"/>
  <c r="F13" i="39"/>
  <c r="AF26" i="38"/>
  <c r="F29" i="38"/>
  <c r="W28" i="38"/>
  <c r="F26" i="38"/>
  <c r="I28" i="38"/>
  <c r="J28" i="38" s="1"/>
  <c r="K28" i="38" s="1"/>
  <c r="L28" i="38" s="1"/>
  <c r="M28" i="38" s="1"/>
  <c r="N28" i="38" s="1"/>
  <c r="R25" i="38"/>
  <c r="E25" i="38"/>
  <c r="W24" i="38"/>
  <c r="AD24" i="38" s="1"/>
  <c r="Q18" i="38"/>
  <c r="C21" i="38"/>
  <c r="O23" i="38"/>
  <c r="R32" i="38"/>
  <c r="S30" i="38"/>
  <c r="F30" i="38"/>
  <c r="R29" i="38"/>
  <c r="H28" i="38"/>
  <c r="V28" i="38" s="1"/>
  <c r="AK28" i="38" s="1"/>
  <c r="R23" i="38"/>
  <c r="W23" i="38" s="1"/>
  <c r="E18" i="39"/>
  <c r="S10" i="42"/>
  <c r="AC10" i="42" s="1"/>
  <c r="AC28" i="42"/>
  <c r="E31" i="42"/>
  <c r="E15" i="43"/>
  <c r="E24" i="34"/>
  <c r="E27" i="34" s="1"/>
  <c r="I24" i="34"/>
  <c r="I27" i="34" s="1"/>
  <c r="H24" i="40"/>
  <c r="H27" i="40" s="1"/>
  <c r="C21" i="34"/>
  <c r="C36" i="34" s="1"/>
  <c r="F24" i="40"/>
  <c r="F27" i="40" s="1"/>
  <c r="D24" i="34"/>
  <c r="J20" i="22"/>
  <c r="J24" i="40" s="1"/>
  <c r="J27" i="40" s="1"/>
  <c r="K18" i="22"/>
  <c r="G24" i="34"/>
  <c r="G27" i="34" s="1"/>
  <c r="H24" i="34"/>
  <c r="H27" i="34" s="1"/>
  <c r="F16" i="40"/>
  <c r="F14" i="22"/>
  <c r="D16" i="40"/>
  <c r="E16" i="40"/>
  <c r="D31" i="40"/>
  <c r="E41" i="22"/>
  <c r="W58" i="12"/>
  <c r="W18" i="30"/>
  <c r="X23" i="30"/>
  <c r="W21" i="29"/>
  <c r="F11" i="22"/>
  <c r="F13" i="40" s="1"/>
  <c r="R59" i="12"/>
  <c r="R39" i="30"/>
  <c r="N20" i="30"/>
  <c r="N58" i="12"/>
  <c r="D14" i="40"/>
  <c r="E14" i="40"/>
  <c r="Y11" i="29"/>
  <c r="X15" i="29"/>
  <c r="M58" i="12"/>
  <c r="M20" i="30"/>
  <c r="F18" i="40"/>
  <c r="F41" i="30"/>
  <c r="G32" i="22"/>
  <c r="G26" i="30"/>
  <c r="T26" i="30"/>
  <c r="AC44" i="12"/>
  <c r="W20" i="30"/>
  <c r="K61" i="12"/>
  <c r="G61" i="12"/>
  <c r="R37" i="30"/>
  <c r="Q37" i="30"/>
  <c r="D31" i="22"/>
  <c r="E18" i="40"/>
  <c r="E41" i="30"/>
  <c r="E37" i="30"/>
  <c r="E39" i="30" s="1"/>
  <c r="S23" i="30"/>
  <c r="C50" i="30"/>
  <c r="C38" i="12" s="1"/>
  <c r="T20" i="30"/>
  <c r="S20" i="30"/>
  <c r="E65" i="12"/>
  <c r="S30" i="30"/>
  <c r="F30" i="30"/>
  <c r="F37" i="30" s="1"/>
  <c r="D13" i="40"/>
  <c r="E13" i="40"/>
  <c r="F19" i="40"/>
  <c r="F13" i="22"/>
  <c r="G33" i="22"/>
  <c r="K20" i="30"/>
  <c r="K58" i="12"/>
  <c r="F20" i="30"/>
  <c r="F60" i="12"/>
  <c r="F35" i="30"/>
  <c r="G35" i="30" s="1"/>
  <c r="S35" i="30"/>
  <c r="Q18" i="30"/>
  <c r="D15" i="40"/>
  <c r="I34" i="30"/>
  <c r="H37" i="22"/>
  <c r="H34" i="30"/>
  <c r="H27" i="30"/>
  <c r="G25" i="30"/>
  <c r="F40" i="44"/>
  <c r="D44" i="44"/>
  <c r="H44" i="44"/>
  <c r="E13" i="22"/>
  <c r="I28" i="30"/>
  <c r="H26" i="30"/>
  <c r="G29" i="30"/>
  <c r="B19" i="41"/>
  <c r="C18" i="41"/>
  <c r="F10" i="44"/>
  <c r="G23" i="30"/>
  <c r="G27" i="30"/>
  <c r="G31" i="30"/>
  <c r="H28" i="30"/>
  <c r="H32" i="30"/>
  <c r="D18" i="40"/>
  <c r="D41" i="30"/>
  <c r="D37" i="30"/>
  <c r="D39" i="30" s="1"/>
  <c r="E20" i="44"/>
  <c r="C41" i="44"/>
  <c r="C40" i="44" s="1"/>
  <c r="G41" i="44"/>
  <c r="G40" i="44" s="1"/>
  <c r="C44" i="44"/>
  <c r="G44" i="44"/>
  <c r="X21" i="38" l="1"/>
  <c r="O21" i="38"/>
  <c r="H35" i="30"/>
  <c r="U35" i="30"/>
  <c r="G35" i="21"/>
  <c r="G32" i="26"/>
  <c r="D46" i="30"/>
  <c r="D44" i="30"/>
  <c r="D45" i="12"/>
  <c r="D38" i="26"/>
  <c r="D41" i="21"/>
  <c r="J28" i="30"/>
  <c r="I28" i="21"/>
  <c r="I25" i="26"/>
  <c r="U27" i="30"/>
  <c r="G27" i="21"/>
  <c r="G24" i="26"/>
  <c r="E18" i="41"/>
  <c r="V34" i="30"/>
  <c r="H34" i="21"/>
  <c r="H31" i="26"/>
  <c r="Q60" i="12"/>
  <c r="R31" i="42"/>
  <c r="Q18" i="21"/>
  <c r="Q15" i="26"/>
  <c r="R31" i="29"/>
  <c r="F61" i="12"/>
  <c r="O61" i="12" s="1"/>
  <c r="O60" i="12"/>
  <c r="S31" i="42"/>
  <c r="S27" i="26"/>
  <c r="S30" i="21"/>
  <c r="S31" i="29"/>
  <c r="S21" i="30"/>
  <c r="AH26" i="30"/>
  <c r="T26" i="21"/>
  <c r="T23" i="26"/>
  <c r="F44" i="30"/>
  <c r="F45" i="12"/>
  <c r="F46" i="12" s="1"/>
  <c r="F41" i="21"/>
  <c r="F44" i="21" s="1"/>
  <c r="F38" i="26"/>
  <c r="F41" i="26" s="1"/>
  <c r="M59" i="12"/>
  <c r="N21" i="30"/>
  <c r="Y23" i="30"/>
  <c r="E31" i="40"/>
  <c r="E33" i="40" s="1"/>
  <c r="F41" i="22"/>
  <c r="E31" i="34"/>
  <c r="E31" i="35"/>
  <c r="E41" i="27"/>
  <c r="E39" i="31"/>
  <c r="D27" i="34"/>
  <c r="T30" i="38"/>
  <c r="AI30" i="38" s="1"/>
  <c r="G30" i="38"/>
  <c r="O28" i="38"/>
  <c r="G29" i="38"/>
  <c r="H29" i="38" s="1"/>
  <c r="T29" i="38"/>
  <c r="AF34" i="38"/>
  <c r="W16" i="38"/>
  <c r="W10" i="38"/>
  <c r="S32" i="38"/>
  <c r="F32" i="38"/>
  <c r="F12" i="39"/>
  <c r="G12" i="39" s="1"/>
  <c r="H12" i="39" s="1"/>
  <c r="I12" i="39" s="1"/>
  <c r="J12" i="39" s="1"/>
  <c r="K12" i="39" s="1"/>
  <c r="L12" i="39" s="1"/>
  <c r="M12" i="39" s="1"/>
  <c r="N12" i="39" s="1"/>
  <c r="B21" i="32"/>
  <c r="G20" i="32"/>
  <c r="B32" i="32"/>
  <c r="B36" i="32" s="1"/>
  <c r="C20" i="32"/>
  <c r="U21" i="21"/>
  <c r="D9" i="28"/>
  <c r="C73" i="28"/>
  <c r="I27" i="30"/>
  <c r="V27" i="30"/>
  <c r="H27" i="21"/>
  <c r="H24" i="26"/>
  <c r="I32" i="30"/>
  <c r="V32" i="30"/>
  <c r="H32" i="21"/>
  <c r="H29" i="26"/>
  <c r="U23" i="30"/>
  <c r="O23" i="30"/>
  <c r="G23" i="21"/>
  <c r="G20" i="26"/>
  <c r="B20" i="41"/>
  <c r="C19" i="41"/>
  <c r="J19" i="41" s="1"/>
  <c r="E19" i="41"/>
  <c r="G19" i="41"/>
  <c r="I26" i="30"/>
  <c r="V26" i="30"/>
  <c r="H26" i="21"/>
  <c r="H23" i="26"/>
  <c r="F15" i="40"/>
  <c r="F66" i="12"/>
  <c r="E66" i="12"/>
  <c r="F15" i="34"/>
  <c r="E15" i="34"/>
  <c r="E45" i="42"/>
  <c r="E44" i="42" s="1"/>
  <c r="F15" i="35"/>
  <c r="E13" i="27"/>
  <c r="E15" i="35"/>
  <c r="E45" i="29"/>
  <c r="E44" i="29" s="1"/>
  <c r="H25" i="30"/>
  <c r="U25" i="30"/>
  <c r="G25" i="21"/>
  <c r="G22" i="26"/>
  <c r="H30" i="40"/>
  <c r="I37" i="22"/>
  <c r="H30" i="34"/>
  <c r="H37" i="27"/>
  <c r="H30" i="35"/>
  <c r="H35" i="31"/>
  <c r="F39" i="30"/>
  <c r="F46" i="30" s="1"/>
  <c r="F21" i="30"/>
  <c r="K59" i="12"/>
  <c r="O58" i="12"/>
  <c r="G19" i="40"/>
  <c r="H33" i="22"/>
  <c r="G13" i="22"/>
  <c r="G42" i="42"/>
  <c r="G40" i="42" s="1"/>
  <c r="G19" i="34"/>
  <c r="G19" i="35"/>
  <c r="G42" i="29"/>
  <c r="G40" i="29" s="1"/>
  <c r="G33" i="27"/>
  <c r="T21" i="30"/>
  <c r="E44" i="30"/>
  <c r="E46" i="30" s="1"/>
  <c r="E45" i="12"/>
  <c r="E46" i="12" s="1"/>
  <c r="E41" i="21"/>
  <c r="E44" i="21" s="1"/>
  <c r="E46" i="21" s="1"/>
  <c r="E49" i="21" s="1"/>
  <c r="E38" i="28" s="1"/>
  <c r="E38" i="26"/>
  <c r="E41" i="26" s="1"/>
  <c r="E43" i="26" s="1"/>
  <c r="E46" i="26" s="1"/>
  <c r="G26" i="21"/>
  <c r="G23" i="26"/>
  <c r="X13" i="30"/>
  <c r="Y13" i="38"/>
  <c r="Y16" i="38" s="1"/>
  <c r="W22" i="29"/>
  <c r="W41" i="29"/>
  <c r="W42" i="29" s="1"/>
  <c r="D33" i="40"/>
  <c r="G14" i="22"/>
  <c r="G16" i="34"/>
  <c r="F16" i="34"/>
  <c r="F16" i="35"/>
  <c r="G16" i="35"/>
  <c r="F14" i="27"/>
  <c r="F13" i="31"/>
  <c r="L18" i="22"/>
  <c r="K20" i="22"/>
  <c r="K18" i="27"/>
  <c r="K20" i="27" s="1"/>
  <c r="K17" i="31"/>
  <c r="K19" i="31" s="1"/>
  <c r="E20" i="39"/>
  <c r="E22" i="39" s="1"/>
  <c r="F18" i="39"/>
  <c r="AH30" i="38"/>
  <c r="S25" i="38"/>
  <c r="F25" i="38"/>
  <c r="E34" i="38"/>
  <c r="E36" i="38" s="1"/>
  <c r="E43" i="38" s="1"/>
  <c r="T26" i="38"/>
  <c r="G26" i="38"/>
  <c r="F27" i="38"/>
  <c r="S27" i="38"/>
  <c r="AH27" i="38" s="1"/>
  <c r="D46" i="38"/>
  <c r="D44" i="38"/>
  <c r="F40" i="27"/>
  <c r="G40" i="22"/>
  <c r="F38" i="31"/>
  <c r="J19" i="32"/>
  <c r="H19" i="32"/>
  <c r="S58" i="28"/>
  <c r="S65" i="28" s="1"/>
  <c r="AC57" i="28"/>
  <c r="G21" i="27"/>
  <c r="G22" i="27" s="1"/>
  <c r="G22" i="22"/>
  <c r="G20" i="31"/>
  <c r="G21" i="31" s="1"/>
  <c r="H21" i="22"/>
  <c r="G31" i="21"/>
  <c r="G28" i="26"/>
  <c r="U29" i="30"/>
  <c r="H29" i="30"/>
  <c r="G29" i="21"/>
  <c r="G26" i="26"/>
  <c r="V28" i="30"/>
  <c r="H28" i="21"/>
  <c r="H25" i="26"/>
  <c r="H31" i="30"/>
  <c r="G30" i="30"/>
  <c r="J34" i="30"/>
  <c r="I34" i="21"/>
  <c r="I31" i="26"/>
  <c r="E15" i="40"/>
  <c r="S35" i="21"/>
  <c r="S32" i="26"/>
  <c r="K21" i="30"/>
  <c r="G15" i="40"/>
  <c r="G66" i="12"/>
  <c r="F45" i="42"/>
  <c r="F44" i="42" s="1"/>
  <c r="G15" i="34"/>
  <c r="G15" i="35"/>
  <c r="F13" i="27"/>
  <c r="F45" i="29"/>
  <c r="F44" i="29" s="1"/>
  <c r="C69" i="12"/>
  <c r="C72" i="12" s="1"/>
  <c r="D17" i="40"/>
  <c r="E31" i="22"/>
  <c r="D17" i="34"/>
  <c r="D32" i="42"/>
  <c r="D30" i="31"/>
  <c r="D32" i="31" s="1"/>
  <c r="D31" i="27"/>
  <c r="D34" i="27" s="1"/>
  <c r="D17" i="35"/>
  <c r="D32" i="29"/>
  <c r="D34" i="22"/>
  <c r="W21" i="30"/>
  <c r="Z11" i="29"/>
  <c r="Y15" i="29"/>
  <c r="Z9" i="38"/>
  <c r="AN9" i="38" s="1"/>
  <c r="Y9" i="30"/>
  <c r="AM9" i="30" s="1"/>
  <c r="Q20" i="30"/>
  <c r="W60" i="12"/>
  <c r="W25" i="29"/>
  <c r="W26" i="29" s="1"/>
  <c r="W25" i="42"/>
  <c r="W26" i="42" s="1"/>
  <c r="K24" i="40"/>
  <c r="K27" i="40" s="1"/>
  <c r="K24" i="34"/>
  <c r="K27" i="34" s="1"/>
  <c r="J24" i="34"/>
  <c r="J27" i="34" s="1"/>
  <c r="K24" i="35"/>
  <c r="K27" i="35" s="1"/>
  <c r="J24" i="35"/>
  <c r="AG25" i="38"/>
  <c r="AI28" i="38"/>
  <c r="AR28" i="38" s="1"/>
  <c r="AD28" i="38"/>
  <c r="M13" i="32"/>
  <c r="H13" i="32"/>
  <c r="F43" i="28"/>
  <c r="E45" i="28"/>
  <c r="S21" i="21"/>
  <c r="T35" i="30"/>
  <c r="F35" i="21"/>
  <c r="F32" i="26"/>
  <c r="T30" i="30"/>
  <c r="T37" i="30" s="1"/>
  <c r="T39" i="30" s="1"/>
  <c r="F30" i="21"/>
  <c r="F27" i="26"/>
  <c r="E67" i="12"/>
  <c r="E31" i="39"/>
  <c r="S37" i="30"/>
  <c r="S39" i="30" s="1"/>
  <c r="S20" i="26"/>
  <c r="S23" i="21"/>
  <c r="S37" i="21" s="1"/>
  <c r="S39" i="21" s="1"/>
  <c r="G18" i="40"/>
  <c r="G41" i="30"/>
  <c r="H32" i="22"/>
  <c r="G18" i="34"/>
  <c r="G38" i="38"/>
  <c r="G18" i="35"/>
  <c r="G32" i="27"/>
  <c r="G31" i="31"/>
  <c r="M21" i="30"/>
  <c r="N59" i="12"/>
  <c r="G11" i="22"/>
  <c r="G13" i="34"/>
  <c r="F13" i="34"/>
  <c r="F22" i="42"/>
  <c r="F20" i="42" s="1"/>
  <c r="F13" i="35"/>
  <c r="F11" i="27"/>
  <c r="F22" i="29"/>
  <c r="F20" i="29" s="1"/>
  <c r="F11" i="31"/>
  <c r="C40" i="34"/>
  <c r="D38" i="34" s="1"/>
  <c r="C16" i="43"/>
  <c r="C16" i="36"/>
  <c r="AD23" i="38"/>
  <c r="R34" i="38"/>
  <c r="R36" i="38" s="1"/>
  <c r="W18" i="38"/>
  <c r="Q20" i="38"/>
  <c r="G13" i="39"/>
  <c r="H33" i="39"/>
  <c r="AG27" i="38"/>
  <c r="K11" i="39"/>
  <c r="L11" i="39" s="1"/>
  <c r="M11" i="39" s="1"/>
  <c r="N11" i="39" s="1"/>
  <c r="Q11" i="39" s="1"/>
  <c r="R11" i="39" s="1"/>
  <c r="S11" i="39" s="1"/>
  <c r="T11" i="39" s="1"/>
  <c r="U11" i="39" s="1"/>
  <c r="V11" i="39" s="1"/>
  <c r="J40" i="39"/>
  <c r="AE11" i="42"/>
  <c r="AC11" i="42"/>
  <c r="AB15" i="42"/>
  <c r="AC15" i="42" s="1"/>
  <c r="U58" i="28"/>
  <c r="AC58" i="28" s="1"/>
  <c r="U65" i="28"/>
  <c r="E9" i="40" l="1"/>
  <c r="E50" i="30"/>
  <c r="E38" i="12" s="1"/>
  <c r="E69" i="12" s="1"/>
  <c r="E9" i="34"/>
  <c r="E47" i="30"/>
  <c r="E9" i="35"/>
  <c r="E49" i="26"/>
  <c r="E50" i="26" s="1"/>
  <c r="G15" i="43"/>
  <c r="G15" i="36"/>
  <c r="J27" i="35"/>
  <c r="Q39" i="30"/>
  <c r="Q21" i="30"/>
  <c r="AA11" i="29"/>
  <c r="Z15" i="29"/>
  <c r="AA9" i="38"/>
  <c r="AO9" i="38" s="1"/>
  <c r="Z9" i="30"/>
  <c r="AN9" i="30" s="1"/>
  <c r="D9" i="12"/>
  <c r="C10" i="22"/>
  <c r="C10" i="39"/>
  <c r="C15" i="39" s="1"/>
  <c r="C25" i="39" s="1"/>
  <c r="C75" i="12"/>
  <c r="AI29" i="30"/>
  <c r="U26" i="26"/>
  <c r="U29" i="21"/>
  <c r="H20" i="31"/>
  <c r="H21" i="31" s="1"/>
  <c r="H21" i="27"/>
  <c r="H22" i="27" s="1"/>
  <c r="I21" i="22"/>
  <c r="H22" i="22"/>
  <c r="E46" i="38"/>
  <c r="E44" i="38"/>
  <c r="T17" i="42"/>
  <c r="T17" i="29"/>
  <c r="G45" i="42"/>
  <c r="G44" i="42" s="1"/>
  <c r="G13" i="27"/>
  <c r="G45" i="29"/>
  <c r="G44" i="29" s="1"/>
  <c r="W26" i="30"/>
  <c r="AJ26" i="30"/>
  <c r="V26" i="21"/>
  <c r="V23" i="26"/>
  <c r="O23" i="21"/>
  <c r="I32" i="21"/>
  <c r="I29" i="26"/>
  <c r="J32" i="30"/>
  <c r="I27" i="21"/>
  <c r="I24" i="26"/>
  <c r="J27" i="30"/>
  <c r="M20" i="32"/>
  <c r="U30" i="38"/>
  <c r="H30" i="38"/>
  <c r="N17" i="42"/>
  <c r="N17" i="29"/>
  <c r="AC23" i="26"/>
  <c r="T31" i="42"/>
  <c r="Q17" i="26"/>
  <c r="Q36" i="26" s="1"/>
  <c r="AC15" i="26"/>
  <c r="AC17" i="26" s="1"/>
  <c r="H18" i="41"/>
  <c r="D9" i="40"/>
  <c r="D50" i="30"/>
  <c r="D38" i="12" s="1"/>
  <c r="D9" i="34"/>
  <c r="D42" i="39"/>
  <c r="D9" i="35"/>
  <c r="D47" i="30"/>
  <c r="D42" i="22"/>
  <c r="D49" i="26"/>
  <c r="V35" i="30"/>
  <c r="H35" i="21"/>
  <c r="H32" i="26"/>
  <c r="I35" i="30"/>
  <c r="G12" i="43"/>
  <c r="G12" i="36"/>
  <c r="K40" i="39"/>
  <c r="C18" i="36"/>
  <c r="C20" i="36" s="1"/>
  <c r="H11" i="22"/>
  <c r="H13" i="34" s="1"/>
  <c r="G22" i="42"/>
  <c r="G20" i="42" s="1"/>
  <c r="G11" i="27"/>
  <c r="H13" i="35"/>
  <c r="G22" i="29"/>
  <c r="G20" i="29" s="1"/>
  <c r="G11" i="31"/>
  <c r="H18" i="40"/>
  <c r="I32" i="22"/>
  <c r="H41" i="30"/>
  <c r="H18" i="34"/>
  <c r="H38" i="38"/>
  <c r="H41" i="38" s="1"/>
  <c r="H18" i="35"/>
  <c r="H32" i="27"/>
  <c r="H31" i="31"/>
  <c r="E34" i="39"/>
  <c r="F37" i="21"/>
  <c r="F39" i="21" s="1"/>
  <c r="F46" i="21" s="1"/>
  <c r="F49" i="21" s="1"/>
  <c r="F38" i="28" s="1"/>
  <c r="G31" i="29"/>
  <c r="G31" i="42"/>
  <c r="G43" i="28"/>
  <c r="F45" i="28"/>
  <c r="AG34" i="38"/>
  <c r="D13" i="43"/>
  <c r="D13" i="36"/>
  <c r="K17" i="42"/>
  <c r="K17" i="29"/>
  <c r="J34" i="21"/>
  <c r="J31" i="26"/>
  <c r="K34" i="30"/>
  <c r="T27" i="38"/>
  <c r="G27" i="38"/>
  <c r="H27" i="38" s="1"/>
  <c r="T25" i="38"/>
  <c r="G25" i="38"/>
  <c r="F34" i="38"/>
  <c r="F36" i="38" s="1"/>
  <c r="F43" i="38" s="1"/>
  <c r="E67" i="28"/>
  <c r="H19" i="40"/>
  <c r="I33" i="22"/>
  <c r="H13" i="22"/>
  <c r="H66" i="12" s="1"/>
  <c r="H19" i="34"/>
  <c r="H42" i="42"/>
  <c r="H40" i="42" s="1"/>
  <c r="H33" i="27"/>
  <c r="H42" i="29"/>
  <c r="H40" i="29" s="1"/>
  <c r="H19" i="35"/>
  <c r="O59" i="12"/>
  <c r="I30" i="40"/>
  <c r="J37" i="22"/>
  <c r="I30" i="34"/>
  <c r="I30" i="35"/>
  <c r="I37" i="27"/>
  <c r="I35" i="31"/>
  <c r="I26" i="21"/>
  <c r="I23" i="26"/>
  <c r="J26" i="30"/>
  <c r="E20" i="32"/>
  <c r="G32" i="38"/>
  <c r="T32" i="38"/>
  <c r="W20" i="38"/>
  <c r="E33" i="35"/>
  <c r="R25" i="42"/>
  <c r="Q59" i="28"/>
  <c r="R25" i="29"/>
  <c r="Q20" i="21"/>
  <c r="J18" i="41"/>
  <c r="U24" i="26"/>
  <c r="U27" i="21"/>
  <c r="K28" i="30"/>
  <c r="J28" i="21"/>
  <c r="J25" i="26"/>
  <c r="D46" i="12"/>
  <c r="H13" i="39"/>
  <c r="I33" i="39"/>
  <c r="Q21" i="38"/>
  <c r="Q36" i="38"/>
  <c r="C18" i="43"/>
  <c r="C20" i="43" s="1"/>
  <c r="G13" i="40"/>
  <c r="M17" i="42"/>
  <c r="M17" i="29"/>
  <c r="G44" i="30"/>
  <c r="G45" i="12"/>
  <c r="G46" i="12" s="1"/>
  <c r="G38" i="26"/>
  <c r="G41" i="26" s="1"/>
  <c r="G41" i="21"/>
  <c r="G44" i="21" s="1"/>
  <c r="S34" i="26"/>
  <c r="S36" i="26" s="1"/>
  <c r="T27" i="26"/>
  <c r="T34" i="26" s="1"/>
  <c r="T36" i="26" s="1"/>
  <c r="T30" i="21"/>
  <c r="T35" i="21"/>
  <c r="T32" i="26"/>
  <c r="E17" i="40"/>
  <c r="E17" i="34"/>
  <c r="E32" i="42"/>
  <c r="E30" i="42" s="1"/>
  <c r="E32" i="29"/>
  <c r="E30" i="29" s="1"/>
  <c r="E30" i="31"/>
  <c r="E32" i="31" s="1"/>
  <c r="E34" i="22"/>
  <c r="E31" i="27"/>
  <c r="E34" i="27" s="1"/>
  <c r="E17" i="35"/>
  <c r="H30" i="30"/>
  <c r="U30" i="30"/>
  <c r="G30" i="21"/>
  <c r="H31" i="29" s="1"/>
  <c r="G27" i="26"/>
  <c r="H26" i="38"/>
  <c r="AH25" i="38"/>
  <c r="AH34" i="38" s="1"/>
  <c r="S34" i="38"/>
  <c r="S36" i="38" s="1"/>
  <c r="G18" i="39"/>
  <c r="F20" i="39"/>
  <c r="F22" i="39" s="1"/>
  <c r="H14" i="22"/>
  <c r="H16" i="34" s="1"/>
  <c r="G14" i="27"/>
  <c r="G13" i="31"/>
  <c r="W33" i="22"/>
  <c r="W45" i="29"/>
  <c r="W33" i="39"/>
  <c r="Y18" i="38"/>
  <c r="F17" i="42"/>
  <c r="F17" i="29"/>
  <c r="AI25" i="30"/>
  <c r="U31" i="42"/>
  <c r="U22" i="26"/>
  <c r="U25" i="21"/>
  <c r="M19" i="41"/>
  <c r="H19" i="41"/>
  <c r="B21" i="41"/>
  <c r="C20" i="41"/>
  <c r="E20" i="41"/>
  <c r="J20" i="41" s="1"/>
  <c r="G20" i="41"/>
  <c r="B32" i="41"/>
  <c r="U37" i="30"/>
  <c r="U39" i="30" s="1"/>
  <c r="U20" i="26"/>
  <c r="U23" i="21"/>
  <c r="G21" i="32"/>
  <c r="C21" i="32"/>
  <c r="C32" i="32" s="1"/>
  <c r="E21" i="32"/>
  <c r="J21" i="32"/>
  <c r="V29" i="38"/>
  <c r="I29" i="38"/>
  <c r="E14" i="43"/>
  <c r="E33" i="34"/>
  <c r="E14" i="36"/>
  <c r="T37" i="21"/>
  <c r="T39" i="21" s="1"/>
  <c r="S17" i="42"/>
  <c r="S17" i="29"/>
  <c r="F12" i="22"/>
  <c r="D44" i="21"/>
  <c r="D46" i="21" s="1"/>
  <c r="D49" i="21" s="1"/>
  <c r="D38" i="28" s="1"/>
  <c r="AE15" i="42"/>
  <c r="AF11" i="42"/>
  <c r="D9" i="43"/>
  <c r="D9" i="36"/>
  <c r="G13" i="35"/>
  <c r="F12" i="43"/>
  <c r="F12" i="36"/>
  <c r="G41" i="38"/>
  <c r="F34" i="26"/>
  <c r="F36" i="26" s="1"/>
  <c r="F43" i="26" s="1"/>
  <c r="F46" i="26" s="1"/>
  <c r="W12" i="22"/>
  <c r="W12" i="39"/>
  <c r="Y13" i="30"/>
  <c r="Z13" i="38"/>
  <c r="Z16" i="38" s="1"/>
  <c r="I31" i="30"/>
  <c r="V31" i="30"/>
  <c r="H31" i="21"/>
  <c r="H28" i="26"/>
  <c r="W28" i="30"/>
  <c r="AJ28" i="30"/>
  <c r="V25" i="26"/>
  <c r="AC25" i="26" s="1"/>
  <c r="V28" i="21"/>
  <c r="V29" i="30"/>
  <c r="AC29" i="30" s="1"/>
  <c r="H29" i="21"/>
  <c r="H26" i="26"/>
  <c r="I29" i="30"/>
  <c r="G38" i="31"/>
  <c r="H40" i="22"/>
  <c r="G40" i="27"/>
  <c r="AI26" i="38"/>
  <c r="L20" i="22"/>
  <c r="L24" i="35" s="1"/>
  <c r="M18" i="22"/>
  <c r="L18" i="27"/>
  <c r="L20" i="27" s="1"/>
  <c r="L17" i="31"/>
  <c r="L19" i="31" s="1"/>
  <c r="G16" i="40"/>
  <c r="W11" i="22"/>
  <c r="W11" i="39"/>
  <c r="Y21" i="29"/>
  <c r="X16" i="30"/>
  <c r="X21" i="42"/>
  <c r="Y21" i="42"/>
  <c r="X21" i="29"/>
  <c r="F9" i="40"/>
  <c r="F50" i="30"/>
  <c r="F38" i="12" s="1"/>
  <c r="F9" i="34"/>
  <c r="F9" i="35"/>
  <c r="F49" i="26"/>
  <c r="F50" i="26" s="1"/>
  <c r="F47" i="30"/>
  <c r="H37" i="30"/>
  <c r="H39" i="30" s="1"/>
  <c r="V25" i="30"/>
  <c r="H25" i="21"/>
  <c r="H22" i="26"/>
  <c r="I25" i="30"/>
  <c r="O20" i="26"/>
  <c r="G34" i="26"/>
  <c r="G36" i="26" s="1"/>
  <c r="G43" i="26" s="1"/>
  <c r="G46" i="26" s="1"/>
  <c r="G37" i="30"/>
  <c r="G39" i="30" s="1"/>
  <c r="G46" i="30" s="1"/>
  <c r="W32" i="30"/>
  <c r="AJ32" i="30"/>
  <c r="V32" i="21"/>
  <c r="V29" i="26"/>
  <c r="AC29" i="26" s="1"/>
  <c r="W27" i="30"/>
  <c r="X27" i="30" s="1"/>
  <c r="Y27" i="30" s="1"/>
  <c r="Z27" i="30" s="1"/>
  <c r="AA27" i="30" s="1"/>
  <c r="AB27" i="30" s="1"/>
  <c r="V24" i="26"/>
  <c r="V27" i="21"/>
  <c r="J20" i="32"/>
  <c r="J32" i="32" s="1"/>
  <c r="F31" i="40"/>
  <c r="G41" i="22"/>
  <c r="F31" i="34"/>
  <c r="F31" i="35"/>
  <c r="F33" i="35" s="1"/>
  <c r="F41" i="27"/>
  <c r="F39" i="31"/>
  <c r="Z23" i="30"/>
  <c r="T31" i="29"/>
  <c r="F65" i="12"/>
  <c r="F31" i="22" s="1"/>
  <c r="Q61" i="12"/>
  <c r="W34" i="30"/>
  <c r="X34" i="30" s="1"/>
  <c r="Y34" i="30" s="1"/>
  <c r="Z34" i="30" s="1"/>
  <c r="AA34" i="30" s="1"/>
  <c r="AB34" i="30" s="1"/>
  <c r="AE34" i="30" s="1"/>
  <c r="V34" i="21"/>
  <c r="V31" i="26"/>
  <c r="AC31" i="26" s="1"/>
  <c r="D41" i="26"/>
  <c r="D43" i="26" s="1"/>
  <c r="D46" i="26" s="1"/>
  <c r="U32" i="26"/>
  <c r="U35" i="21"/>
  <c r="L27" i="35" l="1"/>
  <c r="H12" i="43"/>
  <c r="H12" i="36"/>
  <c r="F17" i="40"/>
  <c r="F17" i="34"/>
  <c r="F32" i="42"/>
  <c r="F30" i="42" s="1"/>
  <c r="F31" i="27"/>
  <c r="F34" i="27" s="1"/>
  <c r="F17" i="35"/>
  <c r="F32" i="29"/>
  <c r="F30" i="29" s="1"/>
  <c r="F30" i="31"/>
  <c r="F32" i="31" s="1"/>
  <c r="F34" i="22"/>
  <c r="G65" i="12"/>
  <c r="G67" i="12" s="1"/>
  <c r="C36" i="32"/>
  <c r="T32" i="32"/>
  <c r="G31" i="40"/>
  <c r="G33" i="40" s="1"/>
  <c r="H41" i="22"/>
  <c r="G31" i="34"/>
  <c r="G31" i="35"/>
  <c r="G33" i="35" s="1"/>
  <c r="G39" i="31"/>
  <c r="G41" i="27"/>
  <c r="W25" i="30"/>
  <c r="AJ25" i="30"/>
  <c r="V25" i="21"/>
  <c r="V22" i="26"/>
  <c r="F33" i="40"/>
  <c r="X41" i="42"/>
  <c r="X42" i="42" s="1"/>
  <c r="X45" i="42" s="1"/>
  <c r="X22" i="42"/>
  <c r="J29" i="30"/>
  <c r="I29" i="21"/>
  <c r="I26" i="26"/>
  <c r="X28" i="30"/>
  <c r="AK28" i="30"/>
  <c r="I31" i="21"/>
  <c r="I28" i="26"/>
  <c r="J31" i="30"/>
  <c r="G12" i="22"/>
  <c r="G14" i="34" s="1"/>
  <c r="F14" i="34"/>
  <c r="F26" i="42"/>
  <c r="F24" i="42" s="1"/>
  <c r="F12" i="27"/>
  <c r="F12" i="31"/>
  <c r="F14" i="35"/>
  <c r="G14" i="35"/>
  <c r="F26" i="29"/>
  <c r="F24" i="29" s="1"/>
  <c r="F14" i="40"/>
  <c r="AC22" i="26"/>
  <c r="W13" i="22"/>
  <c r="W13" i="39"/>
  <c r="V26" i="38"/>
  <c r="I26" i="38"/>
  <c r="J26" i="38" s="1"/>
  <c r="K26" i="38" s="1"/>
  <c r="L26" i="38" s="1"/>
  <c r="M26" i="38" s="1"/>
  <c r="N26" i="38" s="1"/>
  <c r="I30" i="30"/>
  <c r="V30" i="30"/>
  <c r="H30" i="21"/>
  <c r="I31" i="42" s="1"/>
  <c r="H27" i="26"/>
  <c r="AC24" i="26"/>
  <c r="W21" i="38"/>
  <c r="E32" i="32"/>
  <c r="K26" i="30"/>
  <c r="J26" i="21"/>
  <c r="J23" i="26"/>
  <c r="I31" i="29"/>
  <c r="F46" i="38"/>
  <c r="F44" i="38"/>
  <c r="I27" i="38"/>
  <c r="V27" i="38"/>
  <c r="H43" i="28"/>
  <c r="G45" i="28"/>
  <c r="F67" i="28"/>
  <c r="H15" i="43"/>
  <c r="H15" i="36"/>
  <c r="D43" i="22"/>
  <c r="D45" i="22" s="1"/>
  <c r="D50" i="27" s="1"/>
  <c r="D40" i="31"/>
  <c r="D41" i="31" s="1"/>
  <c r="D43" i="31" s="1"/>
  <c r="D42" i="27"/>
  <c r="D43" i="27" s="1"/>
  <c r="D45" i="27" s="1"/>
  <c r="E42" i="22"/>
  <c r="D11" i="43"/>
  <c r="D21" i="34"/>
  <c r="D36" i="34" s="1"/>
  <c r="D11" i="36"/>
  <c r="H20" i="32"/>
  <c r="K32" i="30"/>
  <c r="J32" i="21"/>
  <c r="J29" i="26"/>
  <c r="G37" i="21"/>
  <c r="G39" i="21" s="1"/>
  <c r="G46" i="21" s="1"/>
  <c r="G49" i="21" s="1"/>
  <c r="G38" i="28" s="1"/>
  <c r="G67" i="28" s="1"/>
  <c r="H15" i="34"/>
  <c r="E21" i="34"/>
  <c r="E36" i="34" s="1"/>
  <c r="E11" i="43"/>
  <c r="E11" i="36"/>
  <c r="X32" i="30"/>
  <c r="AK32" i="30"/>
  <c r="G9" i="40"/>
  <c r="G50" i="30"/>
  <c r="G38" i="12" s="1"/>
  <c r="G69" i="12" s="1"/>
  <c r="G9" i="34"/>
  <c r="G9" i="35"/>
  <c r="G49" i="26"/>
  <c r="G50" i="26" s="1"/>
  <c r="G47" i="30"/>
  <c r="I37" i="30"/>
  <c r="I39" i="30" s="1"/>
  <c r="I25" i="21"/>
  <c r="I22" i="26"/>
  <c r="J25" i="30"/>
  <c r="AC34" i="30"/>
  <c r="AF34" i="30" s="1"/>
  <c r="AA23" i="30"/>
  <c r="H34" i="26"/>
  <c r="H36" i="26" s="1"/>
  <c r="F11" i="43"/>
  <c r="F21" i="34"/>
  <c r="F11" i="36"/>
  <c r="X22" i="29"/>
  <c r="X41" i="29"/>
  <c r="X42" i="29" s="1"/>
  <c r="X18" i="30"/>
  <c r="X58" i="12"/>
  <c r="N18" i="22"/>
  <c r="M20" i="22"/>
  <c r="M18" i="27"/>
  <c r="M20" i="27" s="1"/>
  <c r="M17" i="31"/>
  <c r="M19" i="31" s="1"/>
  <c r="I40" i="22"/>
  <c r="H38" i="31"/>
  <c r="H40" i="27"/>
  <c r="Z18" i="38"/>
  <c r="Z20" i="38" s="1"/>
  <c r="D67" i="28"/>
  <c r="D70" i="28" s="1"/>
  <c r="J29" i="38"/>
  <c r="K29" i="38" s="1"/>
  <c r="L29" i="38" s="1"/>
  <c r="M29" i="38" s="1"/>
  <c r="N29" i="38" s="1"/>
  <c r="H20" i="41"/>
  <c r="M20" i="41"/>
  <c r="C21" i="41"/>
  <c r="E21" i="41" s="1"/>
  <c r="G21" i="41"/>
  <c r="V31" i="29"/>
  <c r="U31" i="29"/>
  <c r="Y20" i="38"/>
  <c r="H18" i="39"/>
  <c r="G20" i="39"/>
  <c r="G22" i="39" s="1"/>
  <c r="O26" i="38"/>
  <c r="L28" i="30"/>
  <c r="K28" i="21"/>
  <c r="K25" i="26"/>
  <c r="AC59" i="28"/>
  <c r="AC65" i="28" s="1"/>
  <c r="Q65" i="28"/>
  <c r="H31" i="42"/>
  <c r="U25" i="38"/>
  <c r="G34" i="38"/>
  <c r="G36" i="38" s="1"/>
  <c r="G43" i="38" s="1"/>
  <c r="H25" i="38"/>
  <c r="AI27" i="38"/>
  <c r="H44" i="30"/>
  <c r="H46" i="30" s="1"/>
  <c r="H45" i="12"/>
  <c r="H46" i="12" s="1"/>
  <c r="H38" i="26"/>
  <c r="H41" i="21"/>
  <c r="D69" i="12"/>
  <c r="AJ30" i="38"/>
  <c r="J27" i="21"/>
  <c r="J24" i="26"/>
  <c r="K27" i="30"/>
  <c r="X26" i="30"/>
  <c r="AK26" i="30"/>
  <c r="C10" i="27"/>
  <c r="C23" i="36"/>
  <c r="C24" i="36" s="1"/>
  <c r="C15" i="22"/>
  <c r="C25" i="22" s="1"/>
  <c r="C47" i="22" s="1"/>
  <c r="C43" i="35"/>
  <c r="C44" i="35" s="1"/>
  <c r="C10" i="31"/>
  <c r="C14" i="31" s="1"/>
  <c r="C24" i="31" s="1"/>
  <c r="C45" i="31" s="1"/>
  <c r="C43" i="34"/>
  <c r="C44" i="34" s="1"/>
  <c r="Z13" i="30"/>
  <c r="AA13" i="38"/>
  <c r="AH34" i="30"/>
  <c r="AE37" i="30"/>
  <c r="F14" i="43"/>
  <c r="F33" i="34"/>
  <c r="F14" i="36"/>
  <c r="H37" i="21"/>
  <c r="H39" i="21" s="1"/>
  <c r="Y41" i="29"/>
  <c r="Y42" i="29" s="1"/>
  <c r="Y22" i="29"/>
  <c r="M24" i="40"/>
  <c r="M27" i="40" s="1"/>
  <c r="M24" i="34"/>
  <c r="M27" i="34" s="1"/>
  <c r="M24" i="35"/>
  <c r="M27" i="35" s="1"/>
  <c r="Y16" i="30"/>
  <c r="Z21" i="29"/>
  <c r="Z21" i="42"/>
  <c r="AF15" i="42"/>
  <c r="AG11" i="42"/>
  <c r="W29" i="38"/>
  <c r="AD29" i="38" s="1"/>
  <c r="M21" i="32"/>
  <c r="M32" i="32" s="1"/>
  <c r="H21" i="32"/>
  <c r="G32" i="32"/>
  <c r="V31" i="42"/>
  <c r="I16" i="40"/>
  <c r="I14" i="22"/>
  <c r="I16" i="34" s="1"/>
  <c r="H14" i="27"/>
  <c r="H13" i="31"/>
  <c r="L24" i="34"/>
  <c r="J33" i="39"/>
  <c r="I13" i="39"/>
  <c r="AC27" i="30"/>
  <c r="J30" i="40"/>
  <c r="K37" i="22"/>
  <c r="J30" i="34"/>
  <c r="J30" i="35"/>
  <c r="J37" i="27"/>
  <c r="J35" i="31"/>
  <c r="H45" i="42"/>
  <c r="H44" i="42" s="1"/>
  <c r="H45" i="29"/>
  <c r="H44" i="29" s="1"/>
  <c r="H13" i="27"/>
  <c r="AI25" i="38"/>
  <c r="AI34" i="38" s="1"/>
  <c r="T34" i="38"/>
  <c r="T36" i="38" s="1"/>
  <c r="I18" i="40"/>
  <c r="I41" i="30"/>
  <c r="J32" i="22"/>
  <c r="I18" i="34"/>
  <c r="I18" i="35"/>
  <c r="I38" i="38"/>
  <c r="I32" i="27"/>
  <c r="I31" i="31"/>
  <c r="I11" i="22"/>
  <c r="H22" i="42"/>
  <c r="H20" i="42" s="1"/>
  <c r="H11" i="31"/>
  <c r="H22" i="29"/>
  <c r="H20" i="29" s="1"/>
  <c r="H11" i="27"/>
  <c r="V32" i="26"/>
  <c r="AC32" i="26" s="1"/>
  <c r="V35" i="21"/>
  <c r="D21" i="35"/>
  <c r="D36" i="35" s="1"/>
  <c r="D40" i="35" s="1"/>
  <c r="E38" i="35" s="1"/>
  <c r="D21" i="40"/>
  <c r="D36" i="40" s="1"/>
  <c r="D40" i="40" s="1"/>
  <c r="E38" i="40" s="1"/>
  <c r="Q12" i="39"/>
  <c r="R12" i="39" s="1"/>
  <c r="S12" i="39" s="1"/>
  <c r="T12" i="39" s="1"/>
  <c r="U12" i="39" s="1"/>
  <c r="V12" i="39" s="1"/>
  <c r="H15" i="35"/>
  <c r="H15" i="40"/>
  <c r="I21" i="27"/>
  <c r="I22" i="27" s="1"/>
  <c r="J21" i="22"/>
  <c r="I22" i="22"/>
  <c r="I20" i="31"/>
  <c r="I21" i="31" s="1"/>
  <c r="D72" i="12"/>
  <c r="AB11" i="29"/>
  <c r="AA15" i="29"/>
  <c r="AB9" i="38"/>
  <c r="AP9" i="38" s="1"/>
  <c r="AA9" i="30"/>
  <c r="AO9" i="30" s="1"/>
  <c r="E21" i="35"/>
  <c r="E36" i="35" s="1"/>
  <c r="E40" i="35" s="1"/>
  <c r="F38" i="35" s="1"/>
  <c r="E21" i="40"/>
  <c r="E36" i="40" s="1"/>
  <c r="E40" i="40" s="1"/>
  <c r="F38" i="40" s="1"/>
  <c r="AC35" i="30"/>
  <c r="F67" i="12"/>
  <c r="F69" i="12" s="1"/>
  <c r="F21" i="40"/>
  <c r="F36" i="40" s="1"/>
  <c r="F40" i="40" s="1"/>
  <c r="G38" i="40" s="1"/>
  <c r="Y41" i="42"/>
  <c r="Y42" i="42" s="1"/>
  <c r="Y45" i="42" s="1"/>
  <c r="Y22" i="42"/>
  <c r="AJ29" i="30"/>
  <c r="AQ29" i="30" s="1"/>
  <c r="V26" i="26"/>
  <c r="V29" i="21"/>
  <c r="V28" i="26"/>
  <c r="AC28" i="26" s="1"/>
  <c r="V31" i="21"/>
  <c r="AC31" i="30"/>
  <c r="H16" i="35"/>
  <c r="H16" i="40"/>
  <c r="L24" i="40"/>
  <c r="U27" i="26"/>
  <c r="U30" i="21"/>
  <c r="U37" i="21" s="1"/>
  <c r="U39" i="21" s="1"/>
  <c r="E13" i="43"/>
  <c r="E13" i="36"/>
  <c r="AC20" i="26"/>
  <c r="Q39" i="21"/>
  <c r="Q21" i="21"/>
  <c r="U32" i="38"/>
  <c r="H32" i="38"/>
  <c r="I19" i="40"/>
  <c r="I13" i="22"/>
  <c r="J33" i="22"/>
  <c r="I42" i="42"/>
  <c r="I40" i="42" s="1"/>
  <c r="I19" i="34"/>
  <c r="I33" i="27"/>
  <c r="I42" i="29"/>
  <c r="I40" i="29" s="1"/>
  <c r="I19" i="35"/>
  <c r="K34" i="21"/>
  <c r="K31" i="26"/>
  <c r="L34" i="30"/>
  <c r="F31" i="39"/>
  <c r="H13" i="40"/>
  <c r="L40" i="39"/>
  <c r="I35" i="21"/>
  <c r="I32" i="26"/>
  <c r="J35" i="30"/>
  <c r="D50" i="26"/>
  <c r="E42" i="39"/>
  <c r="D43" i="39"/>
  <c r="D45" i="39" s="1"/>
  <c r="I30" i="38"/>
  <c r="J30" i="38" s="1"/>
  <c r="K30" i="38" s="1"/>
  <c r="L30" i="38" s="1"/>
  <c r="M30" i="38" s="1"/>
  <c r="N30" i="38" s="1"/>
  <c r="V30" i="38"/>
  <c r="AC26" i="26"/>
  <c r="Q17" i="42"/>
  <c r="Q17" i="29"/>
  <c r="Z21" i="38" l="1"/>
  <c r="E32" i="41"/>
  <c r="J21" i="41"/>
  <c r="J32" i="41" s="1"/>
  <c r="H9" i="40"/>
  <c r="H50" i="30"/>
  <c r="H38" i="12" s="1"/>
  <c r="H9" i="34"/>
  <c r="H49" i="26"/>
  <c r="H9" i="35"/>
  <c r="H47" i="30"/>
  <c r="J19" i="40"/>
  <c r="J13" i="22"/>
  <c r="K33" i="22"/>
  <c r="J19" i="34"/>
  <c r="J42" i="42"/>
  <c r="J40" i="42" s="1"/>
  <c r="J19" i="35"/>
  <c r="J42" i="29"/>
  <c r="J40" i="29" s="1"/>
  <c r="J33" i="27"/>
  <c r="J11" i="22"/>
  <c r="I22" i="42"/>
  <c r="I20" i="42" s="1"/>
  <c r="I11" i="31"/>
  <c r="I22" i="29"/>
  <c r="I20" i="29" s="1"/>
  <c r="I11" i="27"/>
  <c r="J13" i="35"/>
  <c r="I41" i="38"/>
  <c r="I44" i="30"/>
  <c r="I45" i="12"/>
  <c r="I38" i="26"/>
  <c r="I41" i="26" s="1"/>
  <c r="I41" i="21"/>
  <c r="I44" i="21" s="1"/>
  <c r="AH11" i="42"/>
  <c r="AG15" i="42"/>
  <c r="Z22" i="42"/>
  <c r="Z41" i="42"/>
  <c r="Z42" i="42" s="1"/>
  <c r="Z45" i="42" s="1"/>
  <c r="AA16" i="38"/>
  <c r="H44" i="21"/>
  <c r="V25" i="38"/>
  <c r="H34" i="38"/>
  <c r="H36" i="38" s="1"/>
  <c r="H43" i="38" s="1"/>
  <c r="I25" i="38"/>
  <c r="J40" i="22"/>
  <c r="I40" i="27"/>
  <c r="I38" i="31"/>
  <c r="Q18" i="22"/>
  <c r="N20" i="22"/>
  <c r="N17" i="31"/>
  <c r="N19" i="31" s="1"/>
  <c r="N18" i="27"/>
  <c r="N20" i="27" s="1"/>
  <c r="X60" i="12"/>
  <c r="X25" i="42"/>
  <c r="X26" i="42" s="1"/>
  <c r="X25" i="29"/>
  <c r="X26" i="29" s="1"/>
  <c r="F36" i="34"/>
  <c r="I46" i="30"/>
  <c r="G11" i="43"/>
  <c r="G11" i="36"/>
  <c r="Y32" i="30"/>
  <c r="AL32" i="30"/>
  <c r="H32" i="32"/>
  <c r="C32" i="41"/>
  <c r="T32" i="41" s="1"/>
  <c r="G14" i="40"/>
  <c r="AJ37" i="30"/>
  <c r="F13" i="43"/>
  <c r="F13" i="36"/>
  <c r="F34" i="39"/>
  <c r="G31" i="39"/>
  <c r="L34" i="21"/>
  <c r="L31" i="26"/>
  <c r="M34" i="30"/>
  <c r="J35" i="21"/>
  <c r="J32" i="26"/>
  <c r="K35" i="30"/>
  <c r="M40" i="39"/>
  <c r="J15" i="40"/>
  <c r="J66" i="12"/>
  <c r="J15" i="34"/>
  <c r="I45" i="42"/>
  <c r="I44" i="42" s="1"/>
  <c r="J15" i="35"/>
  <c r="I13" i="27"/>
  <c r="I45" i="29"/>
  <c r="I44" i="29" s="1"/>
  <c r="V32" i="38"/>
  <c r="AD32" i="38" s="1"/>
  <c r="I32" i="38"/>
  <c r="J32" i="38" s="1"/>
  <c r="K32" i="38" s="1"/>
  <c r="L32" i="38" s="1"/>
  <c r="M32" i="38" s="1"/>
  <c r="N32" i="38" s="1"/>
  <c r="AA13" i="30"/>
  <c r="AB13" i="38"/>
  <c r="AB16" i="38" s="1"/>
  <c r="I13" i="40"/>
  <c r="I66" i="12"/>
  <c r="W32" i="38"/>
  <c r="I16" i="35"/>
  <c r="Z22" i="29"/>
  <c r="Z41" i="29"/>
  <c r="Z42" i="29" s="1"/>
  <c r="Y11" i="22"/>
  <c r="Y11" i="39"/>
  <c r="H46" i="21"/>
  <c r="H49" i="21" s="1"/>
  <c r="H38" i="28" s="1"/>
  <c r="Z16" i="30"/>
  <c r="AA21" i="29"/>
  <c r="AA21" i="42"/>
  <c r="Y26" i="30"/>
  <c r="AL26" i="30"/>
  <c r="H41" i="26"/>
  <c r="G46" i="38"/>
  <c r="G44" i="38"/>
  <c r="Y21" i="38"/>
  <c r="H21" i="41"/>
  <c r="H32" i="41" s="1"/>
  <c r="M21" i="41"/>
  <c r="M32" i="41" s="1"/>
  <c r="G32" i="41"/>
  <c r="X45" i="29"/>
  <c r="X33" i="22"/>
  <c r="X33" i="39"/>
  <c r="J25" i="21"/>
  <c r="J22" i="26"/>
  <c r="K25" i="30"/>
  <c r="D40" i="34"/>
  <c r="E38" i="34" s="1"/>
  <c r="D16" i="43"/>
  <c r="D16" i="36"/>
  <c r="AK27" i="38"/>
  <c r="X27" i="38"/>
  <c r="W27" i="38"/>
  <c r="AK26" i="38"/>
  <c r="X26" i="38"/>
  <c r="W26" i="38"/>
  <c r="V37" i="30"/>
  <c r="V39" i="30" s="1"/>
  <c r="X25" i="30"/>
  <c r="X31" i="29" s="1"/>
  <c r="X32" i="29" s="1"/>
  <c r="AK25" i="30"/>
  <c r="G14" i="43"/>
  <c r="G33" i="34"/>
  <c r="G14" i="36"/>
  <c r="G31" i="22"/>
  <c r="O32" i="38"/>
  <c r="AK30" i="38"/>
  <c r="X30" i="38"/>
  <c r="F42" i="39"/>
  <c r="E43" i="39"/>
  <c r="E45" i="39" s="1"/>
  <c r="AB15" i="29"/>
  <c r="AE11" i="29"/>
  <c r="AC9" i="38"/>
  <c r="AC11" i="29"/>
  <c r="AB9" i="30"/>
  <c r="K21" i="22"/>
  <c r="J21" i="27"/>
  <c r="J22" i="27" s="1"/>
  <c r="J20" i="31"/>
  <c r="J21" i="31" s="1"/>
  <c r="J22" i="22"/>
  <c r="I15" i="43"/>
  <c r="I15" i="36"/>
  <c r="I15" i="35"/>
  <c r="I15" i="40"/>
  <c r="L27" i="34"/>
  <c r="U34" i="26"/>
  <c r="U36" i="26" s="1"/>
  <c r="Y18" i="30"/>
  <c r="Y58" i="12"/>
  <c r="Y33" i="22"/>
  <c r="Y45" i="29"/>
  <c r="Y33" i="39"/>
  <c r="AK34" i="30"/>
  <c r="AN34" i="30" s="1"/>
  <c r="AH37" i="30"/>
  <c r="W30" i="38"/>
  <c r="AJ25" i="38"/>
  <c r="AJ34" i="38" s="1"/>
  <c r="U34" i="38"/>
  <c r="U36" i="38" s="1"/>
  <c r="I18" i="39"/>
  <c r="H20" i="39"/>
  <c r="H22" i="39" s="1"/>
  <c r="D73" i="28"/>
  <c r="E9" i="28"/>
  <c r="E70" i="28" s="1"/>
  <c r="X11" i="22"/>
  <c r="X11" i="39"/>
  <c r="AB23" i="30"/>
  <c r="D18" i="43"/>
  <c r="D20" i="43" s="1"/>
  <c r="D51" i="27"/>
  <c r="J27" i="38"/>
  <c r="K27" i="38" s="1"/>
  <c r="L27" i="38" s="1"/>
  <c r="M27" i="38" s="1"/>
  <c r="N27" i="38" s="1"/>
  <c r="O27" i="38"/>
  <c r="K26" i="21"/>
  <c r="K23" i="26"/>
  <c r="L26" i="30"/>
  <c r="W30" i="30"/>
  <c r="X30" i="30" s="1"/>
  <c r="Y30" i="30" s="1"/>
  <c r="Z30" i="30" s="1"/>
  <c r="AA30" i="30" s="1"/>
  <c r="AB30" i="30" s="1"/>
  <c r="AC30" i="30" s="1"/>
  <c r="V27" i="26"/>
  <c r="AC27" i="26" s="1"/>
  <c r="AC34" i="26" s="1"/>
  <c r="AC36" i="26" s="1"/>
  <c r="V30" i="21"/>
  <c r="K31" i="30"/>
  <c r="J31" i="21"/>
  <c r="J28" i="26"/>
  <c r="Y28" i="30"/>
  <c r="AL28" i="30"/>
  <c r="J29" i="21"/>
  <c r="J26" i="26"/>
  <c r="K29" i="30"/>
  <c r="F21" i="35"/>
  <c r="F36" i="35" s="1"/>
  <c r="F40" i="35" s="1"/>
  <c r="G38" i="35" s="1"/>
  <c r="H31" i="40"/>
  <c r="I41" i="22"/>
  <c r="H31" i="34"/>
  <c r="H31" i="35"/>
  <c r="H41" i="27"/>
  <c r="H39" i="31"/>
  <c r="L27" i="40"/>
  <c r="D10" i="22"/>
  <c r="E9" i="12"/>
  <c r="E72" i="12" s="1"/>
  <c r="D10" i="39"/>
  <c r="D15" i="39" s="1"/>
  <c r="D25" i="39" s="1"/>
  <c r="D75" i="12"/>
  <c r="I13" i="35"/>
  <c r="I13" i="34"/>
  <c r="J18" i="40"/>
  <c r="K32" i="22"/>
  <c r="J41" i="30"/>
  <c r="J18" i="34"/>
  <c r="J38" i="38"/>
  <c r="J41" i="38" s="1"/>
  <c r="J18" i="35"/>
  <c r="J32" i="27"/>
  <c r="J31" i="31"/>
  <c r="I15" i="34"/>
  <c r="K30" i="40"/>
  <c r="L37" i="22"/>
  <c r="K30" i="34"/>
  <c r="K30" i="35"/>
  <c r="K37" i="27"/>
  <c r="K35" i="31"/>
  <c r="K33" i="39"/>
  <c r="J13" i="39"/>
  <c r="J14" i="22"/>
  <c r="J16" i="34"/>
  <c r="J16" i="35"/>
  <c r="I14" i="27"/>
  <c r="I13" i="31"/>
  <c r="C47" i="42"/>
  <c r="C47" i="29"/>
  <c r="C15" i="27"/>
  <c r="C25" i="27" s="1"/>
  <c r="C47" i="27" s="1"/>
  <c r="K27" i="21"/>
  <c r="K24" i="26"/>
  <c r="L27" i="30"/>
  <c r="M28" i="30"/>
  <c r="L28" i="21"/>
  <c r="L25" i="26"/>
  <c r="O29" i="38"/>
  <c r="N24" i="40"/>
  <c r="N27" i="40" s="1"/>
  <c r="N24" i="34"/>
  <c r="N27" i="34" s="1"/>
  <c r="N24" i="35"/>
  <c r="N27" i="35" s="1"/>
  <c r="X20" i="30"/>
  <c r="H43" i="26"/>
  <c r="H46" i="26" s="1"/>
  <c r="AI34" i="30"/>
  <c r="AF37" i="30"/>
  <c r="E16" i="43"/>
  <c r="E18" i="43" s="1"/>
  <c r="E40" i="34"/>
  <c r="F38" i="34" s="1"/>
  <c r="E16" i="36"/>
  <c r="E18" i="36" s="1"/>
  <c r="K32" i="21"/>
  <c r="K29" i="26"/>
  <c r="L32" i="30"/>
  <c r="D18" i="36"/>
  <c r="D20" i="36" s="1"/>
  <c r="E42" i="27"/>
  <c r="E43" i="27" s="1"/>
  <c r="E45" i="27" s="1"/>
  <c r="E40" i="31"/>
  <c r="E41" i="31" s="1"/>
  <c r="E43" i="31" s="1"/>
  <c r="F42" i="22"/>
  <c r="E43" i="22"/>
  <c r="E45" i="22" s="1"/>
  <c r="E50" i="27" s="1"/>
  <c r="E51" i="27" s="1"/>
  <c r="H45" i="28"/>
  <c r="I43" i="28"/>
  <c r="I30" i="21"/>
  <c r="I27" i="26"/>
  <c r="J30" i="30"/>
  <c r="H12" i="22"/>
  <c r="H14" i="34"/>
  <c r="G26" i="42"/>
  <c r="G24" i="42" s="1"/>
  <c r="G12" i="31"/>
  <c r="G26" i="29"/>
  <c r="G24" i="29" s="1"/>
  <c r="G12" i="27"/>
  <c r="H14" i="35"/>
  <c r="W31" i="42"/>
  <c r="W32" i="42" s="1"/>
  <c r="V37" i="21"/>
  <c r="V39" i="21" s="1"/>
  <c r="O30" i="38"/>
  <c r="X31" i="22" l="1"/>
  <c r="X31" i="39"/>
  <c r="X34" i="39" s="1"/>
  <c r="F42" i="27"/>
  <c r="F43" i="27" s="1"/>
  <c r="F45" i="27" s="1"/>
  <c r="F40" i="31"/>
  <c r="F41" i="31" s="1"/>
  <c r="F43" i="31" s="1"/>
  <c r="G42" i="22"/>
  <c r="F43" i="22"/>
  <c r="F45" i="22" s="1"/>
  <c r="F50" i="27" s="1"/>
  <c r="F51" i="27" s="1"/>
  <c r="K13" i="39"/>
  <c r="L33" i="39"/>
  <c r="J15" i="43"/>
  <c r="J15" i="36"/>
  <c r="I12" i="43"/>
  <c r="I12" i="36"/>
  <c r="E10" i="22"/>
  <c r="F9" i="12"/>
  <c r="F72" i="12" s="1"/>
  <c r="E10" i="39"/>
  <c r="E15" i="39" s="1"/>
  <c r="E25" i="39" s="1"/>
  <c r="E75" i="12"/>
  <c r="O24" i="35"/>
  <c r="O27" i="35" s="1"/>
  <c r="I31" i="40"/>
  <c r="I33" i="40" s="1"/>
  <c r="J41" i="22"/>
  <c r="I31" i="34"/>
  <c r="I31" i="35"/>
  <c r="I33" i="35" s="1"/>
  <c r="I41" i="27"/>
  <c r="I39" i="31"/>
  <c r="K29" i="21"/>
  <c r="K26" i="26"/>
  <c r="L29" i="30"/>
  <c r="K31" i="21"/>
  <c r="K28" i="26"/>
  <c r="L31" i="30"/>
  <c r="I34" i="26"/>
  <c r="I36" i="26" s="1"/>
  <c r="I43" i="26" s="1"/>
  <c r="I46" i="26" s="1"/>
  <c r="Y59" i="12"/>
  <c r="Y13" i="34"/>
  <c r="Z13" i="40"/>
  <c r="X59" i="12"/>
  <c r="X13" i="34"/>
  <c r="Y13" i="40"/>
  <c r="J18" i="39"/>
  <c r="I20" i="39"/>
  <c r="I22" i="39" s="1"/>
  <c r="Y13" i="22"/>
  <c r="Y13" i="39"/>
  <c r="Y60" i="12"/>
  <c r="AD9" i="38"/>
  <c r="AQ9" i="38"/>
  <c r="AR9" i="38" s="1"/>
  <c r="G42" i="39"/>
  <c r="F43" i="39"/>
  <c r="K25" i="21"/>
  <c r="K22" i="26"/>
  <c r="L25" i="30"/>
  <c r="H67" i="28"/>
  <c r="Z11" i="22"/>
  <c r="Z11" i="39"/>
  <c r="K35" i="21"/>
  <c r="K32" i="26"/>
  <c r="L35" i="30"/>
  <c r="G34" i="39"/>
  <c r="F40" i="34"/>
  <c r="G38" i="34" s="1"/>
  <c r="F16" i="43"/>
  <c r="F18" i="43" s="1"/>
  <c r="F16" i="36"/>
  <c r="F18" i="36" s="1"/>
  <c r="Y25" i="29"/>
  <c r="Y26" i="29" s="1"/>
  <c r="I34" i="38"/>
  <c r="I36" i="38" s="1"/>
  <c r="I43" i="38" s="1"/>
  <c r="J25" i="38"/>
  <c r="K13" i="40"/>
  <c r="K11" i="22"/>
  <c r="K13" i="34"/>
  <c r="J22" i="42"/>
  <c r="J20" i="42" s="1"/>
  <c r="J22" i="29"/>
  <c r="J20" i="29" s="1"/>
  <c r="J11" i="27"/>
  <c r="K13" i="35"/>
  <c r="J11" i="31"/>
  <c r="K19" i="40"/>
  <c r="L33" i="22"/>
  <c r="K13" i="22"/>
  <c r="K19" i="34"/>
  <c r="K42" i="42"/>
  <c r="K40" i="42" s="1"/>
  <c r="K19" i="35"/>
  <c r="K42" i="29"/>
  <c r="K40" i="29" s="1"/>
  <c r="K33" i="27"/>
  <c r="I12" i="22"/>
  <c r="I14" i="34"/>
  <c r="H26" i="42"/>
  <c r="H24" i="42" s="1"/>
  <c r="H26" i="29"/>
  <c r="H24" i="29" s="1"/>
  <c r="H12" i="31"/>
  <c r="H12" i="27"/>
  <c r="I45" i="28"/>
  <c r="J43" i="28"/>
  <c r="X21" i="30"/>
  <c r="K14" i="22"/>
  <c r="J14" i="27"/>
  <c r="J13" i="31"/>
  <c r="L30" i="40"/>
  <c r="M37" i="22"/>
  <c r="L30" i="34"/>
  <c r="L30" i="35"/>
  <c r="L37" i="27"/>
  <c r="L35" i="31"/>
  <c r="J44" i="30"/>
  <c r="J45" i="12"/>
  <c r="J46" i="12" s="1"/>
  <c r="J38" i="26"/>
  <c r="J41" i="21"/>
  <c r="D10" i="27"/>
  <c r="D23" i="36"/>
  <c r="D24" i="36" s="1"/>
  <c r="D10" i="31"/>
  <c r="D14" i="31" s="1"/>
  <c r="D24" i="31" s="1"/>
  <c r="D45" i="31" s="1"/>
  <c r="D15" i="22"/>
  <c r="D25" i="22" s="1"/>
  <c r="D47" i="22" s="1"/>
  <c r="D43" i="35"/>
  <c r="D44" i="35" s="1"/>
  <c r="D43" i="34"/>
  <c r="D44" i="34" s="1"/>
  <c r="H33" i="40"/>
  <c r="Z28" i="30"/>
  <c r="AM28" i="30"/>
  <c r="L26" i="21"/>
  <c r="L23" i="26"/>
  <c r="M26" i="30"/>
  <c r="AC23" i="30"/>
  <c r="F9" i="28"/>
  <c r="F70" i="28" s="1"/>
  <c r="E73" i="28"/>
  <c r="Y19" i="34"/>
  <c r="Z19" i="40"/>
  <c r="K20" i="31"/>
  <c r="K21" i="31" s="1"/>
  <c r="K21" i="27"/>
  <c r="K22" i="27" s="1"/>
  <c r="L21" i="22"/>
  <c r="K22" i="22"/>
  <c r="AE15" i="29"/>
  <c r="AF11" i="29"/>
  <c r="AF9" i="38"/>
  <c r="AE9" i="30"/>
  <c r="AL30" i="38"/>
  <c r="Y30" i="38"/>
  <c r="G17" i="40"/>
  <c r="G17" i="34"/>
  <c r="G32" i="42"/>
  <c r="G30" i="42" s="1"/>
  <c r="G17" i="35"/>
  <c r="G34" i="22"/>
  <c r="G31" i="27"/>
  <c r="G34" i="27" s="1"/>
  <c r="G32" i="29"/>
  <c r="G30" i="29" s="1"/>
  <c r="G30" i="31"/>
  <c r="G32" i="31" s="1"/>
  <c r="H65" i="12"/>
  <c r="H31" i="39" s="1"/>
  <c r="W37" i="30"/>
  <c r="W39" i="30" s="1"/>
  <c r="AL26" i="38"/>
  <c r="Y26" i="38"/>
  <c r="Y27" i="38"/>
  <c r="AL27" i="38"/>
  <c r="E9" i="43"/>
  <c r="E20" i="43" s="1"/>
  <c r="E9" i="36"/>
  <c r="E20" i="36" s="1"/>
  <c r="AA41" i="42"/>
  <c r="AA42" i="42" s="1"/>
  <c r="AA45" i="42" s="1"/>
  <c r="AA22" i="42"/>
  <c r="AB18" i="38"/>
  <c r="AB20" i="38"/>
  <c r="N34" i="30"/>
  <c r="M34" i="21"/>
  <c r="M31" i="26"/>
  <c r="F45" i="39"/>
  <c r="W31" i="29"/>
  <c r="W32" i="29" s="1"/>
  <c r="X31" i="42"/>
  <c r="X32" i="42" s="1"/>
  <c r="Y31" i="29"/>
  <c r="Y32" i="29" s="1"/>
  <c r="Q24" i="34"/>
  <c r="H46" i="38"/>
  <c r="H44" i="38"/>
  <c r="AA18" i="38"/>
  <c r="AA20" i="38"/>
  <c r="AH15" i="42"/>
  <c r="AI11" i="42"/>
  <c r="J13" i="40"/>
  <c r="K15" i="40"/>
  <c r="J45" i="42"/>
  <c r="J44" i="42" s="1"/>
  <c r="K15" i="35"/>
  <c r="J45" i="29"/>
  <c r="J44" i="29" s="1"/>
  <c r="J13" i="27"/>
  <c r="H50" i="26"/>
  <c r="J31" i="29"/>
  <c r="J31" i="42"/>
  <c r="H14" i="40"/>
  <c r="J30" i="21"/>
  <c r="J27" i="26"/>
  <c r="J34" i="26" s="1"/>
  <c r="J36" i="26" s="1"/>
  <c r="K30" i="30"/>
  <c r="K37" i="30" s="1"/>
  <c r="K39" i="30" s="1"/>
  <c r="L32" i="21"/>
  <c r="L29" i="26"/>
  <c r="M32" i="30"/>
  <c r="K31" i="42"/>
  <c r="AL34" i="30"/>
  <c r="AO34" i="30" s="1"/>
  <c r="AI37" i="30"/>
  <c r="N28" i="30"/>
  <c r="O28" i="30" s="1"/>
  <c r="M28" i="21"/>
  <c r="M25" i="26"/>
  <c r="L27" i="21"/>
  <c r="L24" i="26"/>
  <c r="M27" i="30"/>
  <c r="J16" i="40"/>
  <c r="K18" i="40"/>
  <c r="L32" i="22"/>
  <c r="K41" i="30"/>
  <c r="K18" i="34"/>
  <c r="K38" i="38"/>
  <c r="K41" i="38" s="1"/>
  <c r="K18" i="35"/>
  <c r="K32" i="27"/>
  <c r="K31" i="31"/>
  <c r="O24" i="40"/>
  <c r="O27" i="40" s="1"/>
  <c r="H33" i="35"/>
  <c r="V34" i="26"/>
  <c r="V36" i="26" s="1"/>
  <c r="Y20" i="30"/>
  <c r="O24" i="34"/>
  <c r="O27" i="34" s="1"/>
  <c r="AC9" i="30"/>
  <c r="AP9" i="30"/>
  <c r="AQ9" i="30" s="1"/>
  <c r="AB13" i="30"/>
  <c r="AC13" i="38"/>
  <c r="AC16" i="38" s="1"/>
  <c r="AC15" i="29"/>
  <c r="AK37" i="30"/>
  <c r="J37" i="21"/>
  <c r="J39" i="21" s="1"/>
  <c r="X19" i="34"/>
  <c r="Y19" i="40"/>
  <c r="AA41" i="29"/>
  <c r="AA42" i="29" s="1"/>
  <c r="AA22" i="29"/>
  <c r="Z59" i="12"/>
  <c r="Z13" i="34"/>
  <c r="AA16" i="30"/>
  <c r="AB21" i="29"/>
  <c r="AB21" i="42"/>
  <c r="Y25" i="42"/>
  <c r="Y26" i="42" s="1"/>
  <c r="R18" i="22"/>
  <c r="Q20" i="22"/>
  <c r="Q18" i="27"/>
  <c r="Q20" i="27" s="1"/>
  <c r="Q17" i="31"/>
  <c r="Q19" i="31" s="1"/>
  <c r="J40" i="27"/>
  <c r="K40" i="22"/>
  <c r="J38" i="31"/>
  <c r="X25" i="38"/>
  <c r="AK25" i="38"/>
  <c r="AK34" i="38" s="1"/>
  <c r="V34" i="38"/>
  <c r="V36" i="38" s="1"/>
  <c r="W25" i="38"/>
  <c r="W34" i="38" s="1"/>
  <c r="W36" i="38" s="1"/>
  <c r="I46" i="12"/>
  <c r="H11" i="43"/>
  <c r="H11" i="36"/>
  <c r="AQ34" i="30"/>
  <c r="F9" i="43"/>
  <c r="F20" i="43" s="1"/>
  <c r="F9" i="36"/>
  <c r="I37" i="21"/>
  <c r="I39" i="21" s="1"/>
  <c r="I46" i="21" s="1"/>
  <c r="I49" i="21" s="1"/>
  <c r="I38" i="28" s="1"/>
  <c r="I67" i="28" s="1"/>
  <c r="H14" i="43"/>
  <c r="H14" i="36"/>
  <c r="H33" i="34"/>
  <c r="Y25" i="30"/>
  <c r="AL25" i="30"/>
  <c r="AL37" i="30" s="1"/>
  <c r="X37" i="30"/>
  <c r="X39" i="30" s="1"/>
  <c r="J37" i="30"/>
  <c r="J39" i="30" s="1"/>
  <c r="J46" i="30" s="1"/>
  <c r="X13" i="22"/>
  <c r="X13" i="39"/>
  <c r="Z26" i="30"/>
  <c r="AM26" i="30"/>
  <c r="Z18" i="30"/>
  <c r="Z25" i="29" s="1"/>
  <c r="Z26" i="29" s="1"/>
  <c r="Z58" i="12"/>
  <c r="Z45" i="29"/>
  <c r="Z33" i="22"/>
  <c r="Z33" i="39"/>
  <c r="N40" i="39"/>
  <c r="Z32" i="30"/>
  <c r="AM32" i="30"/>
  <c r="I9" i="40"/>
  <c r="I50" i="30"/>
  <c r="I38" i="12" s="1"/>
  <c r="I9" i="34"/>
  <c r="I9" i="35"/>
  <c r="I47" i="30"/>
  <c r="I49" i="26"/>
  <c r="I50" i="26" s="1"/>
  <c r="X12" i="22"/>
  <c r="X12" i="39"/>
  <c r="Y31" i="42"/>
  <c r="Y32" i="42" s="1"/>
  <c r="J13" i="34"/>
  <c r="H34" i="39" l="1"/>
  <c r="Z12" i="22"/>
  <c r="Z12" i="39"/>
  <c r="Q27" i="34"/>
  <c r="AB21" i="38"/>
  <c r="G21" i="35"/>
  <c r="G36" i="35" s="1"/>
  <c r="G40" i="35" s="1"/>
  <c r="H38" i="35" s="1"/>
  <c r="G21" i="40"/>
  <c r="G36" i="40" s="1"/>
  <c r="G40" i="40" s="1"/>
  <c r="H38" i="40" s="1"/>
  <c r="L20" i="31"/>
  <c r="L21" i="31" s="1"/>
  <c r="L21" i="27"/>
  <c r="L22" i="27" s="1"/>
  <c r="M21" i="22"/>
  <c r="L22" i="22"/>
  <c r="G9" i="28"/>
  <c r="G70" i="28" s="1"/>
  <c r="F73" i="28"/>
  <c r="N26" i="30"/>
  <c r="M26" i="21"/>
  <c r="M23" i="26"/>
  <c r="AA28" i="30"/>
  <c r="AN28" i="30"/>
  <c r="D47" i="42"/>
  <c r="D47" i="29"/>
  <c r="D15" i="27"/>
  <c r="D25" i="27" s="1"/>
  <c r="D47" i="27" s="1"/>
  <c r="J41" i="26"/>
  <c r="J43" i="26" s="1"/>
  <c r="J46" i="26" s="1"/>
  <c r="L16" i="40"/>
  <c r="L14" i="22"/>
  <c r="K14" i="27"/>
  <c r="K13" i="31"/>
  <c r="I44" i="38"/>
  <c r="I46" i="38"/>
  <c r="L35" i="21"/>
  <c r="L32" i="26"/>
  <c r="M35" i="30"/>
  <c r="H42" i="39"/>
  <c r="G43" i="39"/>
  <c r="Z25" i="42"/>
  <c r="Z26" i="42" s="1"/>
  <c r="K18" i="39"/>
  <c r="J20" i="39"/>
  <c r="J22" i="39" s="1"/>
  <c r="L31" i="21"/>
  <c r="L28" i="26"/>
  <c r="M31" i="30"/>
  <c r="J31" i="40"/>
  <c r="K41" i="22"/>
  <c r="J31" i="34"/>
  <c r="J31" i="35"/>
  <c r="J39" i="31"/>
  <c r="J41" i="27"/>
  <c r="Q40" i="39"/>
  <c r="AB41" i="42"/>
  <c r="AB42" i="42" s="1"/>
  <c r="AB45" i="42" s="1"/>
  <c r="AB22" i="42"/>
  <c r="AA21" i="38"/>
  <c r="J9" i="40"/>
  <c r="J50" i="30"/>
  <c r="J38" i="12" s="1"/>
  <c r="J9" i="34"/>
  <c r="J9" i="35"/>
  <c r="J47" i="30"/>
  <c r="J49" i="26"/>
  <c r="Y31" i="22"/>
  <c r="Y31" i="39"/>
  <c r="Y34" i="39" s="1"/>
  <c r="J14" i="40"/>
  <c r="J12" i="22"/>
  <c r="J14" i="34"/>
  <c r="I26" i="42"/>
  <c r="I24" i="42" s="1"/>
  <c r="I26" i="29"/>
  <c r="I24" i="29" s="1"/>
  <c r="J14" i="35"/>
  <c r="I12" i="27"/>
  <c r="I12" i="31"/>
  <c r="L15" i="40"/>
  <c r="K45" i="42"/>
  <c r="K44" i="42" s="1"/>
  <c r="K13" i="27"/>
  <c r="K45" i="29"/>
  <c r="K44" i="29" s="1"/>
  <c r="K37" i="21"/>
  <c r="K39" i="21" s="1"/>
  <c r="K46" i="21" s="1"/>
  <c r="K49" i="21" s="1"/>
  <c r="K38" i="28" s="1"/>
  <c r="Y12" i="43"/>
  <c r="Y12" i="36"/>
  <c r="L29" i="21"/>
  <c r="L26" i="26"/>
  <c r="M29" i="30"/>
  <c r="G9" i="12"/>
  <c r="G72" i="12" s="1"/>
  <c r="F10" i="22"/>
  <c r="F10" i="39"/>
  <c r="F15" i="39" s="1"/>
  <c r="F25" i="39" s="1"/>
  <c r="F75" i="12"/>
  <c r="G42" i="27"/>
  <c r="G43" i="27" s="1"/>
  <c r="H42" i="22"/>
  <c r="G40" i="31"/>
  <c r="G41" i="31" s="1"/>
  <c r="G43" i="31" s="1"/>
  <c r="G43" i="22"/>
  <c r="Y17" i="40"/>
  <c r="Z19" i="34"/>
  <c r="AA19" i="40"/>
  <c r="Y66" i="12"/>
  <c r="Y15" i="34"/>
  <c r="Z15" i="40"/>
  <c r="X66" i="12"/>
  <c r="X15" i="34"/>
  <c r="Y15" i="40"/>
  <c r="Z12" i="43"/>
  <c r="Z12" i="36"/>
  <c r="Z26" i="38"/>
  <c r="AM26" i="38"/>
  <c r="J12" i="43"/>
  <c r="J12" i="36"/>
  <c r="Z13" i="22"/>
  <c r="Z13" i="39"/>
  <c r="N32" i="30"/>
  <c r="M32" i="21"/>
  <c r="M29" i="26"/>
  <c r="AM30" i="38"/>
  <c r="Z30" i="38"/>
  <c r="K16" i="34"/>
  <c r="AA26" i="30"/>
  <c r="AN26" i="30"/>
  <c r="Z25" i="30"/>
  <c r="AM25" i="30"/>
  <c r="AM37" i="30" s="1"/>
  <c r="Y37" i="30"/>
  <c r="F20" i="36"/>
  <c r="K38" i="31"/>
  <c r="L40" i="22"/>
  <c r="K40" i="27"/>
  <c r="R24" i="34"/>
  <c r="R27" i="34" s="1"/>
  <c r="AA58" i="12"/>
  <c r="AA18" i="30"/>
  <c r="AA20" i="30"/>
  <c r="AA11" i="22"/>
  <c r="AB13" i="40" s="1"/>
  <c r="AA11" i="39"/>
  <c r="AC18" i="38"/>
  <c r="AD18" i="38" s="1"/>
  <c r="AC20" i="38"/>
  <c r="K44" i="30"/>
  <c r="K46" i="30" s="1"/>
  <c r="K45" i="12"/>
  <c r="K41" i="21"/>
  <c r="K44" i="21" s="1"/>
  <c r="K38" i="26"/>
  <c r="K41" i="26" s="1"/>
  <c r="K15" i="34"/>
  <c r="AI15" i="42"/>
  <c r="AJ11" i="42"/>
  <c r="Q24" i="35"/>
  <c r="O34" i="21"/>
  <c r="G45" i="27"/>
  <c r="G13" i="43"/>
  <c r="G13" i="36"/>
  <c r="G21" i="34"/>
  <c r="G36" i="34" s="1"/>
  <c r="AE13" i="30"/>
  <c r="AF13" i="38"/>
  <c r="K16" i="40"/>
  <c r="I14" i="40"/>
  <c r="L19" i="40"/>
  <c r="M33" i="22"/>
  <c r="L13" i="22"/>
  <c r="L42" i="42"/>
  <c r="L40" i="42" s="1"/>
  <c r="L19" i="34"/>
  <c r="L42" i="29"/>
  <c r="L40" i="29" s="1"/>
  <c r="L19" i="35"/>
  <c r="L33" i="27"/>
  <c r="L13" i="40"/>
  <c r="L11" i="22"/>
  <c r="L13" i="34" s="1"/>
  <c r="K22" i="42"/>
  <c r="K20" i="42" s="1"/>
  <c r="K11" i="27"/>
  <c r="K11" i="31"/>
  <c r="K22" i="29"/>
  <c r="K20" i="29" s="1"/>
  <c r="AD13" i="38"/>
  <c r="Z66" i="12"/>
  <c r="Z15" i="34"/>
  <c r="AA15" i="40"/>
  <c r="X12" i="43"/>
  <c r="X12" i="36"/>
  <c r="E10" i="27"/>
  <c r="E23" i="36"/>
  <c r="E24" i="36" s="1"/>
  <c r="E10" i="31"/>
  <c r="E14" i="31" s="1"/>
  <c r="E24" i="31" s="1"/>
  <c r="E45" i="31" s="1"/>
  <c r="E43" i="34"/>
  <c r="E44" i="34" s="1"/>
  <c r="E43" i="35"/>
  <c r="E44" i="35" s="1"/>
  <c r="E15" i="22"/>
  <c r="E25" i="22" s="1"/>
  <c r="E47" i="22" s="1"/>
  <c r="M33" i="39"/>
  <c r="L13" i="39"/>
  <c r="K31" i="29"/>
  <c r="AA25" i="29"/>
  <c r="AA26" i="29" s="1"/>
  <c r="Z60" i="12"/>
  <c r="AA25" i="42"/>
  <c r="AA26" i="42" s="1"/>
  <c r="AB22" i="29"/>
  <c r="AB41" i="29"/>
  <c r="AB42" i="29" s="1"/>
  <c r="K15" i="43"/>
  <c r="K15" i="36"/>
  <c r="N28" i="21"/>
  <c r="O28" i="21" s="1"/>
  <c r="N25" i="26"/>
  <c r="O25" i="26" s="1"/>
  <c r="K30" i="21"/>
  <c r="L31" i="42" s="1"/>
  <c r="K27" i="26"/>
  <c r="K34" i="26" s="1"/>
  <c r="K36" i="26" s="1"/>
  <c r="K43" i="26" s="1"/>
  <c r="K46" i="26" s="1"/>
  <c r="L30" i="30"/>
  <c r="AG11" i="29"/>
  <c r="AF15" i="29"/>
  <c r="AG9" i="38"/>
  <c r="AF9" i="30"/>
  <c r="J45" i="28"/>
  <c r="K43" i="28"/>
  <c r="K12" i="43"/>
  <c r="K12" i="36"/>
  <c r="G45" i="39"/>
  <c r="Y61" i="12"/>
  <c r="Y14" i="34"/>
  <c r="X14" i="34"/>
  <c r="Y14" i="40"/>
  <c r="X61" i="12"/>
  <c r="I11" i="43"/>
  <c r="I11" i="36"/>
  <c r="AA32" i="30"/>
  <c r="AN32" i="30"/>
  <c r="Z20" i="30"/>
  <c r="AL25" i="38"/>
  <c r="Y25" i="38"/>
  <c r="X34" i="38"/>
  <c r="X36" i="38" s="1"/>
  <c r="S18" i="22"/>
  <c r="R20" i="22"/>
  <c r="R24" i="35" s="1"/>
  <c r="R27" i="35" s="1"/>
  <c r="R17" i="31"/>
  <c r="R19" i="31" s="1"/>
  <c r="R18" i="27"/>
  <c r="R20" i="27" s="1"/>
  <c r="AA13" i="40"/>
  <c r="AA33" i="22"/>
  <c r="AA45" i="29"/>
  <c r="AA33" i="39"/>
  <c r="L31" i="29"/>
  <c r="AB16" i="30"/>
  <c r="AE21" i="29"/>
  <c r="AE21" i="42"/>
  <c r="AC13" i="30"/>
  <c r="Y39" i="30"/>
  <c r="Y21" i="30"/>
  <c r="L18" i="40"/>
  <c r="M32" i="22"/>
  <c r="L41" i="30"/>
  <c r="L18" i="34"/>
  <c r="L38" i="38"/>
  <c r="L41" i="38" s="1"/>
  <c r="L18" i="35"/>
  <c r="L32" i="27"/>
  <c r="L31" i="31"/>
  <c r="M27" i="21"/>
  <c r="M24" i="26"/>
  <c r="N27" i="30"/>
  <c r="O27" i="30"/>
  <c r="K66" i="12"/>
  <c r="Q24" i="40"/>
  <c r="W31" i="22"/>
  <c r="W31" i="39"/>
  <c r="W34" i="39" s="1"/>
  <c r="N31" i="26"/>
  <c r="O31" i="26" s="1"/>
  <c r="N34" i="21"/>
  <c r="O34" i="30"/>
  <c r="Z27" i="38"/>
  <c r="AM27" i="38"/>
  <c r="H67" i="12"/>
  <c r="H69" i="12" s="1"/>
  <c r="G45" i="22"/>
  <c r="G50" i="27" s="1"/>
  <c r="H31" i="22"/>
  <c r="O26" i="30"/>
  <c r="J44" i="21"/>
  <c r="J46" i="21" s="1"/>
  <c r="J49" i="21" s="1"/>
  <c r="J38" i="28" s="1"/>
  <c r="J67" i="28" s="1"/>
  <c r="M30" i="40"/>
  <c r="N37" i="22"/>
  <c r="M30" i="34"/>
  <c r="M30" i="35"/>
  <c r="M37" i="27"/>
  <c r="M35" i="31"/>
  <c r="K16" i="35"/>
  <c r="I14" i="35"/>
  <c r="J34" i="38"/>
  <c r="J36" i="38" s="1"/>
  <c r="J43" i="38" s="1"/>
  <c r="K25" i="38"/>
  <c r="Y12" i="22"/>
  <c r="Y12" i="39"/>
  <c r="G9" i="43"/>
  <c r="G9" i="36"/>
  <c r="L25" i="21"/>
  <c r="L22" i="26"/>
  <c r="M25" i="30"/>
  <c r="I14" i="43"/>
  <c r="I14" i="36"/>
  <c r="I33" i="34"/>
  <c r="K9" i="40" l="1"/>
  <c r="K50" i="30"/>
  <c r="K38" i="12" s="1"/>
  <c r="K9" i="34"/>
  <c r="K9" i="35"/>
  <c r="K49" i="26"/>
  <c r="K50" i="26" s="1"/>
  <c r="K47" i="30"/>
  <c r="L12" i="43"/>
  <c r="L12" i="36"/>
  <c r="J44" i="38"/>
  <c r="J46" i="38"/>
  <c r="S20" i="22"/>
  <c r="T18" i="22"/>
  <c r="S17" i="31"/>
  <c r="S19" i="31" s="1"/>
  <c r="S18" i="27"/>
  <c r="S20" i="27" s="1"/>
  <c r="L30" i="21"/>
  <c r="M31" i="29" s="1"/>
  <c r="L27" i="26"/>
  <c r="M30" i="30"/>
  <c r="M13" i="39"/>
  <c r="N33" i="39"/>
  <c r="G16" i="43"/>
  <c r="G40" i="34"/>
  <c r="H38" i="34" s="1"/>
  <c r="G16" i="36"/>
  <c r="AA25" i="30"/>
  <c r="AA31" i="29" s="1"/>
  <c r="AA32" i="29" s="1"/>
  <c r="AN25" i="30"/>
  <c r="Z37" i="30"/>
  <c r="N32" i="21"/>
  <c r="O32" i="21" s="1"/>
  <c r="N29" i="26"/>
  <c r="O29" i="26" s="1"/>
  <c r="AN26" i="38"/>
  <c r="AA26" i="38"/>
  <c r="H9" i="12"/>
  <c r="H72" i="12" s="1"/>
  <c r="G10" i="22"/>
  <c r="G10" i="39"/>
  <c r="G15" i="39" s="1"/>
  <c r="G25" i="39" s="1"/>
  <c r="G75" i="12"/>
  <c r="J33" i="35"/>
  <c r="M31" i="21"/>
  <c r="M28" i="26"/>
  <c r="N31" i="30"/>
  <c r="L18" i="39"/>
  <c r="K20" i="39"/>
  <c r="K22" i="39" s="1"/>
  <c r="I42" i="39"/>
  <c r="H43" i="39"/>
  <c r="AA59" i="12"/>
  <c r="M14" i="22"/>
  <c r="M16" i="34" s="1"/>
  <c r="L14" i="27"/>
  <c r="L13" i="31"/>
  <c r="H45" i="39"/>
  <c r="H17" i="40"/>
  <c r="H21" i="40" s="1"/>
  <c r="H36" i="40" s="1"/>
  <c r="H40" i="40" s="1"/>
  <c r="I38" i="40" s="1"/>
  <c r="H17" i="34"/>
  <c r="H32" i="42"/>
  <c r="H30" i="42" s="1"/>
  <c r="H30" i="31"/>
  <c r="H32" i="31" s="1"/>
  <c r="H31" i="27"/>
  <c r="H34" i="27" s="1"/>
  <c r="H17" i="35"/>
  <c r="H21" i="35" s="1"/>
  <c r="H36" i="35" s="1"/>
  <c r="H40" i="35" s="1"/>
  <c r="I38" i="35" s="1"/>
  <c r="H32" i="29"/>
  <c r="H30" i="29" s="1"/>
  <c r="H34" i="22"/>
  <c r="I65" i="12"/>
  <c r="AA12" i="22"/>
  <c r="AA12" i="39"/>
  <c r="AD10" i="38"/>
  <c r="AD16" i="38"/>
  <c r="AD20" i="38" s="1"/>
  <c r="AN27" i="38"/>
  <c r="AA27" i="38"/>
  <c r="L15" i="43"/>
  <c r="L15" i="36"/>
  <c r="Z39" i="30"/>
  <c r="Z21" i="30"/>
  <c r="N29" i="30"/>
  <c r="M29" i="21"/>
  <c r="M26" i="26"/>
  <c r="O29" i="30"/>
  <c r="J11" i="43"/>
  <c r="J11" i="36"/>
  <c r="J14" i="43"/>
  <c r="J14" i="36"/>
  <c r="J33" i="34"/>
  <c r="Z31" i="29"/>
  <c r="Z32" i="29" s="1"/>
  <c r="N35" i="30"/>
  <c r="M35" i="21"/>
  <c r="M32" i="26"/>
  <c r="N23" i="26"/>
  <c r="O23" i="26" s="1"/>
  <c r="N26" i="21"/>
  <c r="O26" i="21" s="1"/>
  <c r="N21" i="22"/>
  <c r="M20" i="31"/>
  <c r="M21" i="31" s="1"/>
  <c r="M21" i="27"/>
  <c r="M22" i="27" s="1"/>
  <c r="M22" i="22"/>
  <c r="L37" i="30"/>
  <c r="L39" i="30" s="1"/>
  <c r="AE41" i="29"/>
  <c r="AE42" i="29" s="1"/>
  <c r="AE22" i="29"/>
  <c r="AB45" i="29"/>
  <c r="AB33" i="22"/>
  <c r="AB33" i="39"/>
  <c r="Q27" i="35"/>
  <c r="AC21" i="38"/>
  <c r="N25" i="30"/>
  <c r="M25" i="21"/>
  <c r="M22" i="26"/>
  <c r="M37" i="30"/>
  <c r="M39" i="30" s="1"/>
  <c r="Z61" i="12"/>
  <c r="Z14" i="34"/>
  <c r="AA14" i="40"/>
  <c r="N27" i="21"/>
  <c r="O27" i="21" s="1"/>
  <c r="N24" i="26"/>
  <c r="O24" i="26" s="1"/>
  <c r="L45" i="12"/>
  <c r="L46" i="12" s="1"/>
  <c r="L44" i="30"/>
  <c r="L38" i="26"/>
  <c r="L41" i="26" s="1"/>
  <c r="L41" i="21"/>
  <c r="AB18" i="30"/>
  <c r="AB20" i="30" s="1"/>
  <c r="AB58" i="12"/>
  <c r="AA13" i="22"/>
  <c r="AA13" i="39"/>
  <c r="L43" i="28"/>
  <c r="K45" i="28"/>
  <c r="K67" i="28" s="1"/>
  <c r="AF13" i="30"/>
  <c r="AG13" i="38"/>
  <c r="AG16" i="38" s="1"/>
  <c r="AB11" i="22"/>
  <c r="AB11" i="39"/>
  <c r="E47" i="42"/>
  <c r="E47" i="29"/>
  <c r="E15" i="27"/>
  <c r="E25" i="27" s="1"/>
  <c r="E47" i="27" s="1"/>
  <c r="L13" i="35"/>
  <c r="L45" i="42"/>
  <c r="L44" i="42" s="1"/>
  <c r="L13" i="27"/>
  <c r="L45" i="29"/>
  <c r="L44" i="29" s="1"/>
  <c r="AF16" i="38"/>
  <c r="G18" i="36"/>
  <c r="AK11" i="42"/>
  <c r="AJ15" i="42"/>
  <c r="AA21" i="30"/>
  <c r="AA30" i="38"/>
  <c r="AN30" i="38"/>
  <c r="X17" i="34"/>
  <c r="I42" i="22"/>
  <c r="H42" i="27"/>
  <c r="H43" i="27" s="1"/>
  <c r="H40" i="31"/>
  <c r="H41" i="31" s="1"/>
  <c r="H43" i="22"/>
  <c r="Z31" i="42"/>
  <c r="Z32" i="42" s="1"/>
  <c r="L15" i="35"/>
  <c r="L15" i="34"/>
  <c r="Y65" i="12"/>
  <c r="Y17" i="34"/>
  <c r="Z17" i="40"/>
  <c r="J50" i="26"/>
  <c r="R40" i="39"/>
  <c r="K31" i="40"/>
  <c r="K33" i="40" s="1"/>
  <c r="L41" i="22"/>
  <c r="K31" i="34"/>
  <c r="K31" i="35"/>
  <c r="K33" i="35" s="1"/>
  <c r="K41" i="27"/>
  <c r="K39" i="31"/>
  <c r="L16" i="35"/>
  <c r="AB28" i="30"/>
  <c r="AO28" i="30"/>
  <c r="AA61" i="12"/>
  <c r="AA14" i="34"/>
  <c r="AB14" i="40"/>
  <c r="L37" i="21"/>
  <c r="L39" i="21" s="1"/>
  <c r="AE41" i="42"/>
  <c r="AE42" i="42" s="1"/>
  <c r="AE45" i="42" s="1"/>
  <c r="AE22" i="42"/>
  <c r="AL34" i="38"/>
  <c r="G51" i="27"/>
  <c r="AA31" i="42"/>
  <c r="AA32" i="42" s="1"/>
  <c r="AB59" i="12"/>
  <c r="AB13" i="34"/>
  <c r="AC13" i="40"/>
  <c r="O32" i="30"/>
  <c r="L34" i="26"/>
  <c r="L36" i="26" s="1"/>
  <c r="L43" i="26" s="1"/>
  <c r="L46" i="26" s="1"/>
  <c r="G20" i="36"/>
  <c r="L25" i="38"/>
  <c r="K34" i="38"/>
  <c r="K36" i="38" s="1"/>
  <c r="K43" i="38" s="1"/>
  <c r="N30" i="40"/>
  <c r="Q37" i="22"/>
  <c r="N30" i="34"/>
  <c r="N30" i="35"/>
  <c r="N37" i="27"/>
  <c r="N35" i="31"/>
  <c r="Q27" i="40"/>
  <c r="M18" i="40"/>
  <c r="M41" i="30"/>
  <c r="N32" i="22"/>
  <c r="M18" i="34"/>
  <c r="M18" i="35"/>
  <c r="M38" i="38"/>
  <c r="M41" i="38" s="1"/>
  <c r="M32" i="27"/>
  <c r="M31" i="31"/>
  <c r="AC10" i="30"/>
  <c r="AC16" i="30"/>
  <c r="AA19" i="34"/>
  <c r="AB19" i="40"/>
  <c r="S24" i="34"/>
  <c r="S27" i="34" s="1"/>
  <c r="S24" i="40"/>
  <c r="S27" i="40" s="1"/>
  <c r="S24" i="35"/>
  <c r="S27" i="35" s="1"/>
  <c r="AM25" i="38"/>
  <c r="AM34" i="38" s="1"/>
  <c r="Z25" i="38"/>
  <c r="Y34" i="38"/>
  <c r="Y36" i="38" s="1"/>
  <c r="AB32" i="30"/>
  <c r="AO32" i="30"/>
  <c r="Z14" i="40"/>
  <c r="AG15" i="29"/>
  <c r="AH11" i="29"/>
  <c r="M13" i="40"/>
  <c r="M11" i="22"/>
  <c r="M13" i="34"/>
  <c r="L22" i="42"/>
  <c r="L20" i="42" s="1"/>
  <c r="L22" i="29"/>
  <c r="L20" i="29" s="1"/>
  <c r="L11" i="31"/>
  <c r="M13" i="35"/>
  <c r="L11" i="27"/>
  <c r="M19" i="40"/>
  <c r="M13" i="22"/>
  <c r="M15" i="40" s="1"/>
  <c r="N33" i="22"/>
  <c r="M42" i="42"/>
  <c r="M40" i="42" s="1"/>
  <c r="M19" i="34"/>
  <c r="M19" i="35"/>
  <c r="M33" i="27"/>
  <c r="M42" i="29"/>
  <c r="M40" i="29" s="1"/>
  <c r="AF21" i="29"/>
  <c r="AE16" i="30"/>
  <c r="AF21" i="42"/>
  <c r="G18" i="43"/>
  <c r="G20" i="43" s="1"/>
  <c r="K46" i="12"/>
  <c r="AA60" i="12"/>
  <c r="AB25" i="29"/>
  <c r="AB26" i="29" s="1"/>
  <c r="AB25" i="42"/>
  <c r="AB26" i="42" s="1"/>
  <c r="R24" i="40"/>
  <c r="R27" i="40" s="1"/>
  <c r="M40" i="22"/>
  <c r="L38" i="31"/>
  <c r="L40" i="27"/>
  <c r="AB26" i="30"/>
  <c r="AO26" i="30"/>
  <c r="AA66" i="12"/>
  <c r="AA15" i="34"/>
  <c r="AB15" i="40"/>
  <c r="X65" i="12"/>
  <c r="F10" i="27"/>
  <c r="F23" i="36"/>
  <c r="F24" i="36" s="1"/>
  <c r="F43" i="35"/>
  <c r="F44" i="35" s="1"/>
  <c r="F43" i="34"/>
  <c r="F44" i="34" s="1"/>
  <c r="F10" i="31"/>
  <c r="F14" i="31" s="1"/>
  <c r="F24" i="31" s="1"/>
  <c r="F45" i="31" s="1"/>
  <c r="F15" i="22"/>
  <c r="F25" i="22" s="1"/>
  <c r="F47" i="22" s="1"/>
  <c r="M31" i="42"/>
  <c r="L66" i="12"/>
  <c r="K12" i="22"/>
  <c r="K14" i="34" s="1"/>
  <c r="J26" i="42"/>
  <c r="J24" i="42" s="1"/>
  <c r="J12" i="27"/>
  <c r="J12" i="31"/>
  <c r="J26" i="29"/>
  <c r="J24" i="29" s="1"/>
  <c r="J33" i="40"/>
  <c r="AA13" i="34"/>
  <c r="L16" i="34"/>
  <c r="G73" i="28"/>
  <c r="H9" i="28"/>
  <c r="H70" i="28" s="1"/>
  <c r="AA31" i="22" l="1"/>
  <c r="AA31" i="39"/>
  <c r="AA34" i="39" s="1"/>
  <c r="AB21" i="30"/>
  <c r="K14" i="35"/>
  <c r="AF22" i="29"/>
  <c r="AF41" i="29"/>
  <c r="AF42" i="29" s="1"/>
  <c r="AN25" i="38"/>
  <c r="AN34" i="38" s="1"/>
  <c r="AA25" i="38"/>
  <c r="Z34" i="38"/>
  <c r="Z36" i="38" s="1"/>
  <c r="M45" i="12"/>
  <c r="M44" i="30"/>
  <c r="M41" i="21"/>
  <c r="M44" i="21" s="1"/>
  <c r="M38" i="26"/>
  <c r="K46" i="38"/>
  <c r="K44" i="38"/>
  <c r="AP28" i="30"/>
  <c r="AQ28" i="30" s="1"/>
  <c r="AC28" i="30"/>
  <c r="AK15" i="42"/>
  <c r="AL11" i="42"/>
  <c r="M15" i="35"/>
  <c r="AE11" i="22"/>
  <c r="AF13" i="40" s="1"/>
  <c r="AE11" i="39"/>
  <c r="L46" i="30"/>
  <c r="AB61" i="12"/>
  <c r="H13" i="43"/>
  <c r="H13" i="36"/>
  <c r="H21" i="34"/>
  <c r="H36" i="34" s="1"/>
  <c r="N28" i="26"/>
  <c r="O28" i="26" s="1"/>
  <c r="N31" i="21"/>
  <c r="O31" i="21" s="1"/>
  <c r="O31" i="30"/>
  <c r="AN37" i="30"/>
  <c r="Q33" i="39"/>
  <c r="N13" i="39"/>
  <c r="T20" i="22"/>
  <c r="U18" i="22"/>
  <c r="T18" i="27"/>
  <c r="T20" i="27" s="1"/>
  <c r="T17" i="31"/>
  <c r="T19" i="31" s="1"/>
  <c r="L12" i="22"/>
  <c r="L14" i="40" s="1"/>
  <c r="K26" i="42"/>
  <c r="K24" i="42" s="1"/>
  <c r="K26" i="29"/>
  <c r="K24" i="29" s="1"/>
  <c r="K12" i="31"/>
  <c r="K12" i="27"/>
  <c r="AB12" i="22"/>
  <c r="AB12" i="39"/>
  <c r="R37" i="22"/>
  <c r="Q30" i="34"/>
  <c r="Q30" i="40"/>
  <c r="Q30" i="35"/>
  <c r="Q37" i="27"/>
  <c r="Q35" i="31"/>
  <c r="M25" i="38"/>
  <c r="L34" i="38"/>
  <c r="L36" i="38" s="1"/>
  <c r="L43" i="38" s="1"/>
  <c r="K14" i="43"/>
  <c r="K14" i="36"/>
  <c r="K33" i="34"/>
  <c r="S40" i="39"/>
  <c r="M66" i="12"/>
  <c r="L45" i="28"/>
  <c r="M43" i="28"/>
  <c r="AB60" i="12"/>
  <c r="AC60" i="12" s="1"/>
  <c r="AC18" i="30"/>
  <c r="AC20" i="30" s="1"/>
  <c r="O30" i="34"/>
  <c r="AB19" i="34"/>
  <c r="AC19" i="40"/>
  <c r="AE33" i="22"/>
  <c r="AE45" i="29"/>
  <c r="AE33" i="39"/>
  <c r="Q21" i="22"/>
  <c r="N21" i="27"/>
  <c r="N22" i="27" s="1"/>
  <c r="N20" i="31"/>
  <c r="N21" i="31" s="1"/>
  <c r="N22" i="22"/>
  <c r="AD21" i="38"/>
  <c r="I67" i="12"/>
  <c r="I69" i="12" s="1"/>
  <c r="I31" i="39"/>
  <c r="H45" i="27"/>
  <c r="I31" i="22"/>
  <c r="N16" i="40"/>
  <c r="O16" i="40" s="1"/>
  <c r="N14" i="22"/>
  <c r="N16" i="34"/>
  <c r="O16" i="34" s="1"/>
  <c r="N16" i="35"/>
  <c r="M14" i="27"/>
  <c r="M13" i="31"/>
  <c r="J42" i="39"/>
  <c r="I43" i="39"/>
  <c r="G10" i="27"/>
  <c r="G23" i="36"/>
  <c r="G24" i="36" s="1"/>
  <c r="G43" i="34"/>
  <c r="G44" i="34" s="1"/>
  <c r="G10" i="31"/>
  <c r="G14" i="31" s="1"/>
  <c r="G24" i="31" s="1"/>
  <c r="G45" i="31" s="1"/>
  <c r="G43" i="35"/>
  <c r="G44" i="35" s="1"/>
  <c r="G15" i="22"/>
  <c r="G25" i="22" s="1"/>
  <c r="G47" i="22" s="1"/>
  <c r="AO25" i="30"/>
  <c r="AO37" i="30" s="1"/>
  <c r="AB25" i="30"/>
  <c r="AA37" i="30"/>
  <c r="AA39" i="30" s="1"/>
  <c r="T24" i="34"/>
  <c r="T24" i="40"/>
  <c r="T27" i="40" s="1"/>
  <c r="T24" i="35"/>
  <c r="T27" i="35" s="1"/>
  <c r="N19" i="40"/>
  <c r="O19" i="40" s="1"/>
  <c r="N13" i="22"/>
  <c r="Q33" i="22"/>
  <c r="N19" i="34"/>
  <c r="O19" i="34" s="1"/>
  <c r="N42" i="42"/>
  <c r="N40" i="42" s="1"/>
  <c r="N19" i="35"/>
  <c r="O19" i="35" s="1"/>
  <c r="N42" i="29"/>
  <c r="N40" i="29" s="1"/>
  <c r="N33" i="27"/>
  <c r="M12" i="43"/>
  <c r="M12" i="36"/>
  <c r="AP32" i="30"/>
  <c r="AQ32" i="30" s="1"/>
  <c r="AC32" i="30"/>
  <c r="M15" i="43"/>
  <c r="M15" i="36"/>
  <c r="O30" i="40"/>
  <c r="AB12" i="43"/>
  <c r="AB12" i="36"/>
  <c r="L31" i="40"/>
  <c r="M41" i="22"/>
  <c r="L31" i="34"/>
  <c r="L31" i="35"/>
  <c r="L33" i="35" s="1"/>
  <c r="L41" i="27"/>
  <c r="L39" i="31"/>
  <c r="Y13" i="43"/>
  <c r="Y13" i="36"/>
  <c r="I42" i="27"/>
  <c r="I43" i="27" s="1"/>
  <c r="I40" i="31"/>
  <c r="I41" i="31" s="1"/>
  <c r="J42" i="22"/>
  <c r="I43" i="22"/>
  <c r="AO30" i="38"/>
  <c r="AB30" i="38"/>
  <c r="AG18" i="38"/>
  <c r="AG20" i="38"/>
  <c r="AC15" i="40"/>
  <c r="M46" i="30"/>
  <c r="AB13" i="22"/>
  <c r="AB13" i="39"/>
  <c r="N32" i="26"/>
  <c r="O32" i="26" s="1"/>
  <c r="N35" i="21"/>
  <c r="O35" i="21" s="1"/>
  <c r="O35" i="30"/>
  <c r="AO27" i="38"/>
  <c r="AB27" i="38"/>
  <c r="H45" i="22"/>
  <c r="H50" i="27" s="1"/>
  <c r="H51" i="27" s="1"/>
  <c r="H43" i="31"/>
  <c r="M16" i="40"/>
  <c r="H10" i="22"/>
  <c r="I9" i="12"/>
  <c r="H10" i="39"/>
  <c r="H15" i="39" s="1"/>
  <c r="H25" i="39" s="1"/>
  <c r="H75" i="12"/>
  <c r="H9" i="43"/>
  <c r="H9" i="36"/>
  <c r="AP26" i="30"/>
  <c r="AQ26" i="30" s="1"/>
  <c r="AC26" i="30"/>
  <c r="N40" i="22"/>
  <c r="M40" i="27"/>
  <c r="M38" i="31"/>
  <c r="K14" i="40"/>
  <c r="F47" i="42"/>
  <c r="F47" i="29"/>
  <c r="F15" i="27"/>
  <c r="F25" i="27" s="1"/>
  <c r="F47" i="27" s="1"/>
  <c r="AF22" i="42"/>
  <c r="AF41" i="42"/>
  <c r="AF42" i="42" s="1"/>
  <c r="AF45" i="42" s="1"/>
  <c r="AI11" i="29"/>
  <c r="AH15" i="29"/>
  <c r="I9" i="28"/>
  <c r="I70" i="28" s="1"/>
  <c r="H73" i="28"/>
  <c r="AA12" i="43"/>
  <c r="AA12" i="36"/>
  <c r="AE18" i="30"/>
  <c r="AE20" i="30" s="1"/>
  <c r="AE58" i="12"/>
  <c r="N15" i="40"/>
  <c r="O15" i="40" s="1"/>
  <c r="N66" i="12"/>
  <c r="O66" i="12" s="1"/>
  <c r="N15" i="34"/>
  <c r="M45" i="42"/>
  <c r="M44" i="42" s="1"/>
  <c r="N15" i="35"/>
  <c r="M13" i="27"/>
  <c r="M45" i="29"/>
  <c r="M44" i="29" s="1"/>
  <c r="N11" i="22"/>
  <c r="N13" i="35" s="1"/>
  <c r="O13" i="35" s="1"/>
  <c r="N13" i="34"/>
  <c r="M22" i="42"/>
  <c r="M20" i="42" s="1"/>
  <c r="M22" i="29"/>
  <c r="M20" i="29" s="1"/>
  <c r="M11" i="27"/>
  <c r="M11" i="31"/>
  <c r="AG13" i="30"/>
  <c r="AH13" i="38"/>
  <c r="N18" i="40"/>
  <c r="O18" i="40" s="1"/>
  <c r="N41" i="30"/>
  <c r="Q32" i="22"/>
  <c r="N18" i="34"/>
  <c r="N38" i="38"/>
  <c r="N18" i="35"/>
  <c r="O18" i="35" s="1"/>
  <c r="N32" i="27"/>
  <c r="N31" i="31"/>
  <c r="N31" i="42"/>
  <c r="X13" i="43"/>
  <c r="X13" i="36"/>
  <c r="O30" i="35"/>
  <c r="AF18" i="38"/>
  <c r="AF20" i="38"/>
  <c r="M15" i="34"/>
  <c r="AF16" i="30"/>
  <c r="AG21" i="29"/>
  <c r="AG21" i="42"/>
  <c r="AC58" i="12"/>
  <c r="L44" i="21"/>
  <c r="L46" i="21" s="1"/>
  <c r="L49" i="21" s="1"/>
  <c r="L38" i="28" s="1"/>
  <c r="L67" i="28" s="1"/>
  <c r="N37" i="30"/>
  <c r="N39" i="30" s="1"/>
  <c r="N22" i="26"/>
  <c r="N25" i="21"/>
  <c r="O25" i="30"/>
  <c r="Z31" i="22"/>
  <c r="Z31" i="39"/>
  <c r="Z34" i="39" s="1"/>
  <c r="N29" i="21"/>
  <c r="O29" i="21" s="1"/>
  <c r="N26" i="26"/>
  <c r="O26" i="26" s="1"/>
  <c r="M16" i="35"/>
  <c r="M18" i="39"/>
  <c r="L20" i="39"/>
  <c r="L22" i="39" s="1"/>
  <c r="AB26" i="38"/>
  <c r="AO26" i="38"/>
  <c r="N30" i="30"/>
  <c r="M30" i="21"/>
  <c r="N31" i="29" s="1"/>
  <c r="M27" i="26"/>
  <c r="M34" i="26" s="1"/>
  <c r="M36" i="26" s="1"/>
  <c r="K11" i="43"/>
  <c r="K11" i="36"/>
  <c r="AE39" i="30" l="1"/>
  <c r="AE21" i="30"/>
  <c r="AC21" i="30"/>
  <c r="AP27" i="38"/>
  <c r="AC27" i="38"/>
  <c r="M9" i="40"/>
  <c r="M50" i="30"/>
  <c r="M38" i="12" s="1"/>
  <c r="M9" i="34"/>
  <c r="M9" i="35"/>
  <c r="M49" i="26"/>
  <c r="M47" i="30"/>
  <c r="AE13" i="22"/>
  <c r="AE13" i="39"/>
  <c r="N43" i="28"/>
  <c r="M45" i="28"/>
  <c r="T40" i="39"/>
  <c r="M46" i="12"/>
  <c r="AO25" i="38"/>
  <c r="AO34" i="38" s="1"/>
  <c r="AB25" i="38"/>
  <c r="AA34" i="38"/>
  <c r="AA36" i="38" s="1"/>
  <c r="O22" i="26"/>
  <c r="AH16" i="38"/>
  <c r="J9" i="28"/>
  <c r="J70" i="28" s="1"/>
  <c r="I73" i="28"/>
  <c r="N40" i="27"/>
  <c r="Q40" i="22"/>
  <c r="N38" i="31"/>
  <c r="AE66" i="12"/>
  <c r="AE15" i="34"/>
  <c r="AF15" i="40"/>
  <c r="T27" i="34"/>
  <c r="AP25" i="30"/>
  <c r="AP37" i="30" s="1"/>
  <c r="AB37" i="30"/>
  <c r="AB39" i="30" s="1"/>
  <c r="AB31" i="29"/>
  <c r="AB32" i="29" s="1"/>
  <c r="AB31" i="42"/>
  <c r="AB32" i="42" s="1"/>
  <c r="O16" i="35"/>
  <c r="I17" i="40"/>
  <c r="I21" i="40" s="1"/>
  <c r="I36" i="40" s="1"/>
  <c r="I40" i="40" s="1"/>
  <c r="J38" i="40" s="1"/>
  <c r="J65" i="12"/>
  <c r="J67" i="12" s="1"/>
  <c r="J69" i="12" s="1"/>
  <c r="I17" i="34"/>
  <c r="I32" i="42"/>
  <c r="I30" i="42" s="1"/>
  <c r="I32" i="29"/>
  <c r="I30" i="29" s="1"/>
  <c r="I34" i="22"/>
  <c r="I45" i="22" s="1"/>
  <c r="I50" i="27" s="1"/>
  <c r="I51" i="27" s="1"/>
  <c r="I17" i="35"/>
  <c r="I21" i="35" s="1"/>
  <c r="I36" i="35" s="1"/>
  <c r="I40" i="35" s="1"/>
  <c r="J38" i="35" s="1"/>
  <c r="I31" i="27"/>
  <c r="I34" i="27" s="1"/>
  <c r="I45" i="27" s="1"/>
  <c r="I30" i="31"/>
  <c r="I32" i="31" s="1"/>
  <c r="I43" i="31" s="1"/>
  <c r="AE19" i="34"/>
  <c r="AF19" i="40"/>
  <c r="N25" i="38"/>
  <c r="M34" i="38"/>
  <c r="M36" i="38" s="1"/>
  <c r="M43" i="38" s="1"/>
  <c r="Q13" i="39"/>
  <c r="R33" i="39"/>
  <c r="AL15" i="42"/>
  <c r="AM11" i="42"/>
  <c r="M41" i="26"/>
  <c r="M43" i="26" s="1"/>
  <c r="M46" i="26" s="1"/>
  <c r="O38" i="26"/>
  <c r="O41" i="26" s="1"/>
  <c r="AG41" i="42"/>
  <c r="AG42" i="42" s="1"/>
  <c r="AG45" i="42" s="1"/>
  <c r="AG22" i="42"/>
  <c r="N12" i="43"/>
  <c r="O12" i="43" s="1"/>
  <c r="N12" i="36"/>
  <c r="O12" i="36" s="1"/>
  <c r="O13" i="34"/>
  <c r="L33" i="40"/>
  <c r="G47" i="42"/>
  <c r="G15" i="27"/>
  <c r="G25" i="27" s="1"/>
  <c r="G47" i="27" s="1"/>
  <c r="G47" i="29"/>
  <c r="L44" i="38"/>
  <c r="L46" i="38"/>
  <c r="M12" i="22"/>
  <c r="M14" i="34" s="1"/>
  <c r="L26" i="42"/>
  <c r="L24" i="42" s="1"/>
  <c r="L12" i="27"/>
  <c r="M14" i="35"/>
  <c r="L26" i="29"/>
  <c r="L24" i="29" s="1"/>
  <c r="L12" i="31"/>
  <c r="M20" i="39"/>
  <c r="M22" i="39" s="1"/>
  <c r="N18" i="39"/>
  <c r="N45" i="12"/>
  <c r="N46" i="12" s="1"/>
  <c r="N44" i="30"/>
  <c r="N46" i="30" s="1"/>
  <c r="N41" i="21"/>
  <c r="N38" i="26"/>
  <c r="N41" i="26" s="1"/>
  <c r="O41" i="30"/>
  <c r="O44" i="30" s="1"/>
  <c r="O15" i="35"/>
  <c r="AH13" i="30"/>
  <c r="AI13" i="38"/>
  <c r="AI16" i="38" s="1"/>
  <c r="AB15" i="34"/>
  <c r="J42" i="27"/>
  <c r="J43" i="27" s="1"/>
  <c r="K42" i="22"/>
  <c r="J40" i="31"/>
  <c r="J41" i="31" s="1"/>
  <c r="J43" i="22"/>
  <c r="L14" i="43"/>
  <c r="L14" i="36"/>
  <c r="L33" i="34"/>
  <c r="Q19" i="40"/>
  <c r="R33" i="22"/>
  <c r="Q13" i="22"/>
  <c r="Q42" i="42"/>
  <c r="Q40" i="42" s="1"/>
  <c r="Q19" i="34"/>
  <c r="Q19" i="35"/>
  <c r="Q33" i="27"/>
  <c r="Q42" i="29"/>
  <c r="Q40" i="29" s="1"/>
  <c r="K42" i="39"/>
  <c r="J43" i="39"/>
  <c r="Q21" i="27"/>
  <c r="Q22" i="27" s="1"/>
  <c r="Q20" i="31"/>
  <c r="Q21" i="31" s="1"/>
  <c r="R21" i="22"/>
  <c r="Q22" i="22"/>
  <c r="V18" i="22"/>
  <c r="U20" i="22"/>
  <c r="U17" i="31"/>
  <c r="U19" i="31" s="1"/>
  <c r="U18" i="27"/>
  <c r="U20" i="27" s="1"/>
  <c r="AQ25" i="30"/>
  <c r="AQ37" i="30" s="1"/>
  <c r="AC14" i="40"/>
  <c r="L9" i="40"/>
  <c r="L50" i="30"/>
  <c r="L38" i="12" s="1"/>
  <c r="L9" i="34"/>
  <c r="L9" i="35"/>
  <c r="L47" i="30"/>
  <c r="L49" i="26"/>
  <c r="L50" i="26" s="1"/>
  <c r="AE13" i="34"/>
  <c r="AF45" i="29"/>
  <c r="AF33" i="22"/>
  <c r="AF33" i="39"/>
  <c r="O25" i="21"/>
  <c r="AF21" i="38"/>
  <c r="AF36" i="38"/>
  <c r="Q41" i="30"/>
  <c r="R32" i="22"/>
  <c r="Q18" i="34"/>
  <c r="Q18" i="40"/>
  <c r="Q38" i="38"/>
  <c r="Q18" i="35"/>
  <c r="Q32" i="27"/>
  <c r="Q31" i="31"/>
  <c r="AE31" i="29"/>
  <c r="AE32" i="29" s="1"/>
  <c r="AE60" i="12"/>
  <c r="AE25" i="29"/>
  <c r="AE26" i="29" s="1"/>
  <c r="AE31" i="42"/>
  <c r="AE32" i="42" s="1"/>
  <c r="AE25" i="42"/>
  <c r="AE26" i="42" s="1"/>
  <c r="H10" i="27"/>
  <c r="H23" i="36"/>
  <c r="H10" i="31"/>
  <c r="H14" i="31" s="1"/>
  <c r="H24" i="31" s="1"/>
  <c r="H45" i="31" s="1"/>
  <c r="H43" i="35"/>
  <c r="H44" i="35" s="1"/>
  <c r="H43" i="34"/>
  <c r="H44" i="34" s="1"/>
  <c r="H15" i="22"/>
  <c r="H25" i="22" s="1"/>
  <c r="H47" i="22" s="1"/>
  <c r="AG21" i="38"/>
  <c r="AG36" i="38"/>
  <c r="AG41" i="29"/>
  <c r="AG42" i="29" s="1"/>
  <c r="AG22" i="29"/>
  <c r="Q11" i="22"/>
  <c r="Q13" i="40" s="1"/>
  <c r="N22" i="42"/>
  <c r="N20" i="42" s="1"/>
  <c r="N11" i="31"/>
  <c r="N22" i="29"/>
  <c r="N20" i="29" s="1"/>
  <c r="N11" i="27"/>
  <c r="AP26" i="38"/>
  <c r="AC26" i="38"/>
  <c r="AQ26" i="38" s="1"/>
  <c r="AD26" i="38"/>
  <c r="Z65" i="12"/>
  <c r="Z17" i="34"/>
  <c r="AA17" i="40"/>
  <c r="AF18" i="30"/>
  <c r="AF31" i="42" s="1"/>
  <c r="AF32" i="42" s="1"/>
  <c r="AF58" i="12"/>
  <c r="N41" i="38"/>
  <c r="O38" i="38"/>
  <c r="O41" i="38" s="1"/>
  <c r="AG16" i="30"/>
  <c r="AH21" i="29"/>
  <c r="AH21" i="42"/>
  <c r="N13" i="40"/>
  <c r="O13" i="40" s="1"/>
  <c r="N27" i="26"/>
  <c r="O27" i="26" s="1"/>
  <c r="N30" i="21"/>
  <c r="O30" i="21" s="1"/>
  <c r="O30" i="30"/>
  <c r="O37" i="30" s="1"/>
  <c r="O39" i="30" s="1"/>
  <c r="O46" i="30" s="1"/>
  <c r="Q31" i="42"/>
  <c r="Q31" i="29"/>
  <c r="N15" i="43"/>
  <c r="O15" i="43" s="1"/>
  <c r="N15" i="36"/>
  <c r="O15" i="36" s="1"/>
  <c r="O18" i="34"/>
  <c r="O15" i="34"/>
  <c r="AJ11" i="29"/>
  <c r="AI15" i="29"/>
  <c r="I72" i="12"/>
  <c r="M37" i="21"/>
  <c r="M39" i="21" s="1"/>
  <c r="M46" i="21" s="1"/>
  <c r="M49" i="21" s="1"/>
  <c r="M38" i="28" s="1"/>
  <c r="M67" i="28" s="1"/>
  <c r="AB66" i="12"/>
  <c r="AP30" i="38"/>
  <c r="AC30" i="38"/>
  <c r="M31" i="40"/>
  <c r="M33" i="40" s="1"/>
  <c r="N41" i="22"/>
  <c r="M31" i="34"/>
  <c r="M31" i="35"/>
  <c r="M33" i="35" s="1"/>
  <c r="M41" i="27"/>
  <c r="M39" i="31"/>
  <c r="Q66" i="12"/>
  <c r="Q15" i="34"/>
  <c r="N45" i="42"/>
  <c r="N44" i="42" s="1"/>
  <c r="Q15" i="40"/>
  <c r="Q15" i="35"/>
  <c r="N45" i="29"/>
  <c r="N44" i="29" s="1"/>
  <c r="N13" i="27"/>
  <c r="AC25" i="30"/>
  <c r="AC37" i="30" s="1"/>
  <c r="AC39" i="30" s="1"/>
  <c r="Q14" i="22"/>
  <c r="Q16" i="34" s="1"/>
  <c r="Q16" i="40"/>
  <c r="N14" i="27"/>
  <c r="N13" i="31"/>
  <c r="I34" i="39"/>
  <c r="I45" i="39" s="1"/>
  <c r="S37" i="22"/>
  <c r="R30" i="34"/>
  <c r="R30" i="40"/>
  <c r="R30" i="35"/>
  <c r="R37" i="27"/>
  <c r="R35" i="31"/>
  <c r="L14" i="35"/>
  <c r="L14" i="34"/>
  <c r="U24" i="34"/>
  <c r="U27" i="34" s="1"/>
  <c r="U24" i="40"/>
  <c r="U27" i="40" s="1"/>
  <c r="U24" i="35"/>
  <c r="H40" i="34"/>
  <c r="I38" i="34" s="1"/>
  <c r="H16" i="43"/>
  <c r="H18" i="43" s="1"/>
  <c r="H20" i="43" s="1"/>
  <c r="H16" i="36"/>
  <c r="H18" i="36" s="1"/>
  <c r="H20" i="36" s="1"/>
  <c r="AB14" i="34"/>
  <c r="AE59" i="12"/>
  <c r="AF11" i="22"/>
  <c r="AF11" i="39"/>
  <c r="AA65" i="12"/>
  <c r="AA17" i="34"/>
  <c r="AB17" i="40"/>
  <c r="N9" i="40" l="1"/>
  <c r="N50" i="30"/>
  <c r="N38" i="12" s="1"/>
  <c r="N9" i="34"/>
  <c r="N9" i="35"/>
  <c r="N47" i="30"/>
  <c r="N49" i="26"/>
  <c r="O50" i="30"/>
  <c r="O47" i="30"/>
  <c r="Z13" i="43"/>
  <c r="Z13" i="36"/>
  <c r="R21" i="27"/>
  <c r="R22" i="27" s="1"/>
  <c r="S21" i="22"/>
  <c r="R20" i="31"/>
  <c r="R21" i="31" s="1"/>
  <c r="R22" i="22"/>
  <c r="AM15" i="42"/>
  <c r="AN11" i="42"/>
  <c r="AH18" i="38"/>
  <c r="AH20" i="38" s="1"/>
  <c r="U40" i="39"/>
  <c r="M50" i="26"/>
  <c r="L11" i="43"/>
  <c r="L11" i="36"/>
  <c r="O9" i="34"/>
  <c r="L42" i="39"/>
  <c r="K43" i="39"/>
  <c r="M44" i="38"/>
  <c r="M46" i="38"/>
  <c r="AA13" i="43"/>
  <c r="AA13" i="36"/>
  <c r="AQ30" i="38"/>
  <c r="AR30" i="38" s="1"/>
  <c r="AD30" i="38"/>
  <c r="AI13" i="30"/>
  <c r="AJ13" i="38"/>
  <c r="AJ16" i="38" s="1"/>
  <c r="AH41" i="42"/>
  <c r="AH42" i="42" s="1"/>
  <c r="AH45" i="42" s="1"/>
  <c r="AH22" i="42"/>
  <c r="AG11" i="22"/>
  <c r="AH13" i="40" s="1"/>
  <c r="AG11" i="39"/>
  <c r="AF25" i="42"/>
  <c r="AF26" i="42" s="1"/>
  <c r="AF25" i="29"/>
  <c r="AF26" i="29" s="1"/>
  <c r="Q15" i="43"/>
  <c r="Q15" i="36"/>
  <c r="Q18" i="39"/>
  <c r="N20" i="39"/>
  <c r="N22" i="39" s="1"/>
  <c r="AF13" i="34"/>
  <c r="N34" i="38"/>
  <c r="N36" i="38" s="1"/>
  <c r="N43" i="38" s="1"/>
  <c r="O25" i="38"/>
  <c r="O34" i="38" s="1"/>
  <c r="O36" i="38" s="1"/>
  <c r="O43" i="38" s="1"/>
  <c r="J31" i="22"/>
  <c r="AB31" i="22"/>
  <c r="AB31" i="39"/>
  <c r="AB34" i="39" s="1"/>
  <c r="AC25" i="38"/>
  <c r="AB34" i="38"/>
  <c r="AB36" i="38" s="1"/>
  <c r="AP25" i="38"/>
  <c r="AP34" i="38" s="1"/>
  <c r="AQ27" i="38"/>
  <c r="AR27" i="38" s="1"/>
  <c r="AD27" i="38"/>
  <c r="R11" i="22"/>
  <c r="R13" i="34"/>
  <c r="Q22" i="42"/>
  <c r="Q20" i="42" s="1"/>
  <c r="R13" i="40"/>
  <c r="Q22" i="29"/>
  <c r="Q20" i="29" s="1"/>
  <c r="Q11" i="31"/>
  <c r="R13" i="35"/>
  <c r="Q11" i="27"/>
  <c r="AE12" i="22"/>
  <c r="AE12" i="39"/>
  <c r="I9" i="43"/>
  <c r="I9" i="36"/>
  <c r="T37" i="22"/>
  <c r="S30" i="34"/>
  <c r="S30" i="40"/>
  <c r="S30" i="35"/>
  <c r="S37" i="27"/>
  <c r="S35" i="31"/>
  <c r="R14" i="22"/>
  <c r="R16" i="34"/>
  <c r="R16" i="40"/>
  <c r="R16" i="35"/>
  <c r="Q14" i="27"/>
  <c r="Q13" i="31"/>
  <c r="Q67" i="12"/>
  <c r="M14" i="43"/>
  <c r="M14" i="36"/>
  <c r="M33" i="34"/>
  <c r="I10" i="22"/>
  <c r="J9" i="12"/>
  <c r="J72" i="12" s="1"/>
  <c r="I10" i="39"/>
  <c r="I15" i="39" s="1"/>
  <c r="I25" i="39" s="1"/>
  <c r="I75" i="12"/>
  <c r="AJ15" i="29"/>
  <c r="AK11" i="29"/>
  <c r="AH22" i="29"/>
  <c r="AH41" i="29"/>
  <c r="AH42" i="29" s="1"/>
  <c r="AG33" i="22"/>
  <c r="AG45" i="29"/>
  <c r="AG33" i="39"/>
  <c r="R41" i="30"/>
  <c r="S32" i="22"/>
  <c r="R18" i="34"/>
  <c r="R38" i="38"/>
  <c r="R41" i="38" s="1"/>
  <c r="R43" i="38" s="1"/>
  <c r="R18" i="40"/>
  <c r="R18" i="35"/>
  <c r="R32" i="27"/>
  <c r="R31" i="31"/>
  <c r="O37" i="21"/>
  <c r="O39" i="21" s="1"/>
  <c r="O46" i="21" s="1"/>
  <c r="AF19" i="34"/>
  <c r="AG19" i="40"/>
  <c r="Q45" i="42"/>
  <c r="Q44" i="42" s="1"/>
  <c r="Q13" i="27"/>
  <c r="Q45" i="29"/>
  <c r="Q44" i="29" s="1"/>
  <c r="AI18" i="38"/>
  <c r="AI20" i="38" s="1"/>
  <c r="N44" i="21"/>
  <c r="O41" i="21"/>
  <c r="O44" i="21" s="1"/>
  <c r="AF59" i="12"/>
  <c r="N12" i="22"/>
  <c r="N14" i="34" s="1"/>
  <c r="O14" i="34" s="1"/>
  <c r="M26" i="42"/>
  <c r="M24" i="42" s="1"/>
  <c r="M12" i="27"/>
  <c r="M12" i="31"/>
  <c r="M26" i="29"/>
  <c r="M24" i="29" s="1"/>
  <c r="J73" i="28"/>
  <c r="K9" i="28"/>
  <c r="K70" i="28" s="1"/>
  <c r="O34" i="26"/>
  <c r="O36" i="26" s="1"/>
  <c r="O43" i="26" s="1"/>
  <c r="O46" i="26" s="1"/>
  <c r="M11" i="43"/>
  <c r="M11" i="36"/>
  <c r="U27" i="35"/>
  <c r="AF60" i="12"/>
  <c r="H47" i="42"/>
  <c r="H15" i="27"/>
  <c r="H25" i="27" s="1"/>
  <c r="H47" i="27" s="1"/>
  <c r="H47" i="29"/>
  <c r="AE12" i="43"/>
  <c r="AE12" i="36"/>
  <c r="W18" i="22"/>
  <c r="V20" i="22"/>
  <c r="V18" i="27"/>
  <c r="V20" i="27" s="1"/>
  <c r="V17" i="31"/>
  <c r="V19" i="31" s="1"/>
  <c r="AG13" i="40"/>
  <c r="J31" i="39"/>
  <c r="Q16" i="35"/>
  <c r="N31" i="40"/>
  <c r="Q41" i="22"/>
  <c r="N31" i="34"/>
  <c r="N31" i="35"/>
  <c r="N41" i="27"/>
  <c r="N39" i="31"/>
  <c r="AG18" i="30"/>
  <c r="AG58" i="12"/>
  <c r="AF20" i="30"/>
  <c r="AR26" i="38"/>
  <c r="Q13" i="35"/>
  <c r="Q13" i="34"/>
  <c r="H24" i="36"/>
  <c r="AF31" i="29"/>
  <c r="AF32" i="29" s="1"/>
  <c r="AE31" i="22"/>
  <c r="AE31" i="39"/>
  <c r="AE34" i="39" s="1"/>
  <c r="Q41" i="38"/>
  <c r="Q43" i="38" s="1"/>
  <c r="Q44" i="30"/>
  <c r="Q46" i="30" s="1"/>
  <c r="Q45" i="12"/>
  <c r="Q38" i="26"/>
  <c r="Q41" i="21"/>
  <c r="Q44" i="21" s="1"/>
  <c r="Q46" i="21" s="1"/>
  <c r="Q49" i="21" s="1"/>
  <c r="Q38" i="28" s="1"/>
  <c r="N37" i="21"/>
  <c r="N39" i="21" s="1"/>
  <c r="N46" i="21" s="1"/>
  <c r="N49" i="21" s="1"/>
  <c r="N38" i="28" s="1"/>
  <c r="AF13" i="22"/>
  <c r="AF13" i="39"/>
  <c r="O9" i="35"/>
  <c r="V24" i="34"/>
  <c r="V27" i="34" s="1"/>
  <c r="V24" i="40"/>
  <c r="V27" i="40" s="1"/>
  <c r="V24" i="35"/>
  <c r="V27" i="35" s="1"/>
  <c r="R19" i="40"/>
  <c r="S33" i="22"/>
  <c r="R13" i="22"/>
  <c r="R19" i="34"/>
  <c r="R42" i="42"/>
  <c r="R40" i="42" s="1"/>
  <c r="R33" i="27"/>
  <c r="R19" i="35"/>
  <c r="R42" i="29"/>
  <c r="R40" i="29" s="1"/>
  <c r="K42" i="27"/>
  <c r="K43" i="27" s="1"/>
  <c r="K40" i="31"/>
  <c r="K41" i="31" s="1"/>
  <c r="L42" i="22"/>
  <c r="K43" i="22"/>
  <c r="AH16" i="30"/>
  <c r="AI21" i="29"/>
  <c r="AI21" i="42"/>
  <c r="W24" i="40"/>
  <c r="W27" i="40" s="1"/>
  <c r="M14" i="40"/>
  <c r="R13" i="39"/>
  <c r="S33" i="39"/>
  <c r="I13" i="43"/>
  <c r="I13" i="36"/>
  <c r="I21" i="34"/>
  <c r="I36" i="34" s="1"/>
  <c r="Q38" i="31"/>
  <c r="R40" i="22"/>
  <c r="Q40" i="27"/>
  <c r="N34" i="26"/>
  <c r="N36" i="26" s="1"/>
  <c r="N43" i="26" s="1"/>
  <c r="N46" i="26" s="1"/>
  <c r="O45" i="12"/>
  <c r="O46" i="12" s="1"/>
  <c r="Q43" i="28"/>
  <c r="N45" i="28"/>
  <c r="AI21" i="38" l="1"/>
  <c r="AI36" i="38"/>
  <c r="AH21" i="38"/>
  <c r="AH36" i="38"/>
  <c r="Q41" i="26"/>
  <c r="Q43" i="26" s="1"/>
  <c r="Q46" i="26" s="1"/>
  <c r="Q44" i="38"/>
  <c r="Q46" i="38"/>
  <c r="S40" i="22"/>
  <c r="R38" i="31"/>
  <c r="R40" i="27"/>
  <c r="T33" i="39"/>
  <c r="S13" i="39"/>
  <c r="AI41" i="42"/>
  <c r="AI42" i="42" s="1"/>
  <c r="AI45" i="42" s="1"/>
  <c r="AI22" i="42"/>
  <c r="L40" i="31"/>
  <c r="L41" i="31" s="1"/>
  <c r="M42" i="22"/>
  <c r="L42" i="27"/>
  <c r="L43" i="27" s="1"/>
  <c r="L43" i="22"/>
  <c r="R45" i="42"/>
  <c r="R44" i="42" s="1"/>
  <c r="R45" i="29"/>
  <c r="R44" i="29" s="1"/>
  <c r="R13" i="27"/>
  <c r="N67" i="28"/>
  <c r="O38" i="28"/>
  <c r="O67" i="28" s="1"/>
  <c r="O70" i="28" s="1"/>
  <c r="Q46" i="12"/>
  <c r="AF39" i="30"/>
  <c r="AF21" i="30"/>
  <c r="R41" i="22"/>
  <c r="Q31" i="34"/>
  <c r="Q31" i="40"/>
  <c r="Q31" i="35"/>
  <c r="Q41" i="27"/>
  <c r="Q39" i="31"/>
  <c r="AG25" i="29"/>
  <c r="AG26" i="29" s="1"/>
  <c r="AC24" i="35"/>
  <c r="AC27" i="35" s="1"/>
  <c r="N14" i="35"/>
  <c r="O14" i="35" s="1"/>
  <c r="R46" i="38"/>
  <c r="R44" i="38"/>
  <c r="AG13" i="22"/>
  <c r="AG13" i="39"/>
  <c r="AH11" i="22"/>
  <c r="AH11" i="39"/>
  <c r="U37" i="22"/>
  <c r="T30" i="34"/>
  <c r="T30" i="40"/>
  <c r="T30" i="35"/>
  <c r="T37" i="27"/>
  <c r="T35" i="31"/>
  <c r="AF66" i="12"/>
  <c r="N44" i="38"/>
  <c r="N46" i="38"/>
  <c r="AI16" i="30"/>
  <c r="M42" i="39"/>
  <c r="L43" i="39"/>
  <c r="AN15" i="42"/>
  <c r="AO11" i="42"/>
  <c r="S20" i="31"/>
  <c r="S21" i="31" s="1"/>
  <c r="S21" i="27"/>
  <c r="S22" i="27" s="1"/>
  <c r="T21" i="22"/>
  <c r="S22" i="22"/>
  <c r="AG59" i="12"/>
  <c r="N11" i="43"/>
  <c r="N11" i="36"/>
  <c r="Q45" i="28"/>
  <c r="R43" i="28"/>
  <c r="AC43" i="28"/>
  <c r="AC45" i="28" s="1"/>
  <c r="S19" i="40"/>
  <c r="S13" i="22"/>
  <c r="S15" i="34" s="1"/>
  <c r="T33" i="22"/>
  <c r="S19" i="34"/>
  <c r="S42" i="42"/>
  <c r="S40" i="42" s="1"/>
  <c r="S19" i="35"/>
  <c r="S33" i="27"/>
  <c r="S42" i="29"/>
  <c r="S40" i="29" s="1"/>
  <c r="Q50" i="30"/>
  <c r="Q38" i="12" s="1"/>
  <c r="Q9" i="34"/>
  <c r="Q9" i="40"/>
  <c r="Q49" i="26"/>
  <c r="Q50" i="26" s="1"/>
  <c r="Q9" i="35"/>
  <c r="Q47" i="30"/>
  <c r="Q12" i="43"/>
  <c r="Q12" i="36"/>
  <c r="N33" i="40"/>
  <c r="O31" i="40"/>
  <c r="O33" i="40" s="1"/>
  <c r="J34" i="39"/>
  <c r="J45" i="39" s="1"/>
  <c r="W20" i="22"/>
  <c r="W24" i="34" s="1"/>
  <c r="W27" i="34" s="1"/>
  <c r="X18" i="22"/>
  <c r="AG31" i="29"/>
  <c r="AG32" i="29" s="1"/>
  <c r="Q12" i="22"/>
  <c r="Q14" i="34" s="1"/>
  <c r="N26" i="42"/>
  <c r="N24" i="42" s="1"/>
  <c r="N12" i="27"/>
  <c r="N26" i="29"/>
  <c r="N24" i="29" s="1"/>
  <c r="N12" i="31"/>
  <c r="R15" i="34"/>
  <c r="R15" i="43"/>
  <c r="R15" i="36"/>
  <c r="AG19" i="34"/>
  <c r="AH19" i="40"/>
  <c r="AK15" i="29"/>
  <c r="AL11" i="29"/>
  <c r="K9" i="12"/>
  <c r="J10" i="22"/>
  <c r="J10" i="39"/>
  <c r="J15" i="39" s="1"/>
  <c r="J25" i="39" s="1"/>
  <c r="J75" i="12"/>
  <c r="R12" i="43"/>
  <c r="R12" i="36"/>
  <c r="AB65" i="12"/>
  <c r="AB17" i="34"/>
  <c r="AC17" i="40"/>
  <c r="AF12" i="43"/>
  <c r="AF12" i="36"/>
  <c r="V40" i="39"/>
  <c r="N50" i="26"/>
  <c r="O38" i="12"/>
  <c r="I16" i="43"/>
  <c r="I18" i="43" s="1"/>
  <c r="I20" i="43" s="1"/>
  <c r="I40" i="34"/>
  <c r="J38" i="34" s="1"/>
  <c r="I16" i="36"/>
  <c r="I18" i="36" s="1"/>
  <c r="I20" i="36" s="1"/>
  <c r="AI41" i="29"/>
  <c r="AI42" i="29" s="1"/>
  <c r="AI22" i="29"/>
  <c r="AG20" i="30"/>
  <c r="AH18" i="30"/>
  <c r="AH58" i="12"/>
  <c r="Q67" i="28"/>
  <c r="AE65" i="12"/>
  <c r="AE17" i="34"/>
  <c r="AF17" i="40"/>
  <c r="O31" i="35"/>
  <c r="O33" i="35" s="1"/>
  <c r="N33" i="35"/>
  <c r="AG31" i="42"/>
  <c r="AG32" i="42" s="1"/>
  <c r="L9" i="28"/>
  <c r="L70" i="28" s="1"/>
  <c r="K73" i="28"/>
  <c r="N14" i="40"/>
  <c r="O14" i="40" s="1"/>
  <c r="R15" i="35"/>
  <c r="R66" i="12"/>
  <c r="S41" i="30"/>
  <c r="T32" i="22"/>
  <c r="S18" i="34"/>
  <c r="S18" i="40"/>
  <c r="S38" i="38"/>
  <c r="S18" i="35"/>
  <c r="S32" i="27"/>
  <c r="S31" i="31"/>
  <c r="AJ13" i="30"/>
  <c r="AK13" i="38"/>
  <c r="I10" i="27"/>
  <c r="I23" i="36"/>
  <c r="I43" i="35"/>
  <c r="I44" i="35" s="1"/>
  <c r="I10" i="31"/>
  <c r="I14" i="31" s="1"/>
  <c r="I24" i="31" s="1"/>
  <c r="I45" i="31" s="1"/>
  <c r="I15" i="22"/>
  <c r="I25" i="22" s="1"/>
  <c r="I47" i="22" s="1"/>
  <c r="I43" i="34"/>
  <c r="I44" i="34" s="1"/>
  <c r="S14" i="22"/>
  <c r="S16" i="34" s="1"/>
  <c r="R14" i="27"/>
  <c r="R13" i="31"/>
  <c r="AE14" i="34"/>
  <c r="AE61" i="12"/>
  <c r="AF14" i="40"/>
  <c r="S11" i="22"/>
  <c r="S13" i="34" s="1"/>
  <c r="S13" i="40"/>
  <c r="R22" i="42"/>
  <c r="R20" i="42" s="1"/>
  <c r="S13" i="35"/>
  <c r="R11" i="27"/>
  <c r="R11" i="31"/>
  <c r="R22" i="29"/>
  <c r="R20" i="29" s="1"/>
  <c r="AG15" i="40"/>
  <c r="J17" i="40"/>
  <c r="J21" i="40" s="1"/>
  <c r="J36" i="40" s="1"/>
  <c r="J40" i="40" s="1"/>
  <c r="K38" i="40" s="1"/>
  <c r="J17" i="34"/>
  <c r="J32" i="42"/>
  <c r="J30" i="42" s="1"/>
  <c r="J31" i="27"/>
  <c r="J34" i="27" s="1"/>
  <c r="J45" i="27" s="1"/>
  <c r="J17" i="35"/>
  <c r="J21" i="35" s="1"/>
  <c r="J36" i="35" s="1"/>
  <c r="J40" i="35" s="1"/>
  <c r="K38" i="35" s="1"/>
  <c r="J32" i="29"/>
  <c r="J30" i="29" s="1"/>
  <c r="J34" i="22"/>
  <c r="J45" i="22" s="1"/>
  <c r="J50" i="27" s="1"/>
  <c r="J30" i="31"/>
  <c r="J32" i="31" s="1"/>
  <c r="J43" i="31" s="1"/>
  <c r="K65" i="12"/>
  <c r="K67" i="12" s="1"/>
  <c r="K69" i="12" s="1"/>
  <c r="O9" i="40"/>
  <c r="AF31" i="22"/>
  <c r="AF31" i="39"/>
  <c r="AF34" i="39" s="1"/>
  <c r="AH25" i="29"/>
  <c r="AH26" i="29" s="1"/>
  <c r="AG60" i="12"/>
  <c r="AH31" i="29"/>
  <c r="AH32" i="29" s="1"/>
  <c r="AH31" i="42"/>
  <c r="AH32" i="42" s="1"/>
  <c r="AH25" i="42"/>
  <c r="AH26" i="42" s="1"/>
  <c r="N14" i="43"/>
  <c r="O14" i="43" s="1"/>
  <c r="N14" i="36"/>
  <c r="O14" i="36" s="1"/>
  <c r="O31" i="34"/>
  <c r="N33" i="34"/>
  <c r="AG25" i="42"/>
  <c r="AG26" i="42" s="1"/>
  <c r="R15" i="40"/>
  <c r="O49" i="21"/>
  <c r="O47" i="21"/>
  <c r="R44" i="30"/>
  <c r="R46" i="30" s="1"/>
  <c r="R45" i="12"/>
  <c r="R46" i="12" s="1"/>
  <c r="R38" i="26"/>
  <c r="R41" i="26" s="1"/>
  <c r="R43" i="26" s="1"/>
  <c r="R46" i="26" s="1"/>
  <c r="R41" i="21"/>
  <c r="R44" i="21" s="1"/>
  <c r="R46" i="21" s="1"/>
  <c r="R49" i="21" s="1"/>
  <c r="R38" i="28" s="1"/>
  <c r="AH45" i="29"/>
  <c r="AH33" i="22"/>
  <c r="AH33" i="39"/>
  <c r="AF15" i="34"/>
  <c r="AQ25" i="38"/>
  <c r="AC34" i="38"/>
  <c r="AC36" i="38" s="1"/>
  <c r="AD25" i="38"/>
  <c r="AD34" i="38" s="1"/>
  <c r="AD36" i="38" s="1"/>
  <c r="O44" i="38"/>
  <c r="O46" i="38"/>
  <c r="R18" i="39"/>
  <c r="Q20" i="39"/>
  <c r="Q22" i="39" s="1"/>
  <c r="AF12" i="22"/>
  <c r="AF12" i="39"/>
  <c r="AH59" i="12"/>
  <c r="AH13" i="34"/>
  <c r="AI13" i="40"/>
  <c r="AJ18" i="38"/>
  <c r="AJ20" i="38"/>
  <c r="O11" i="43"/>
  <c r="AG13" i="34"/>
  <c r="S12" i="43" l="1"/>
  <c r="S12" i="36"/>
  <c r="O47" i="34"/>
  <c r="O33" i="34"/>
  <c r="AQ34" i="38"/>
  <c r="AR25" i="38"/>
  <c r="AR34" i="38" s="1"/>
  <c r="AH19" i="34"/>
  <c r="AI19" i="40"/>
  <c r="AH31" i="22"/>
  <c r="AH31" i="39"/>
  <c r="AH34" i="39" s="1"/>
  <c r="AF65" i="12"/>
  <c r="AF17" i="34"/>
  <c r="AG17" i="40"/>
  <c r="J51" i="27"/>
  <c r="S16" i="35"/>
  <c r="I24" i="36"/>
  <c r="S41" i="38"/>
  <c r="S43" i="38" s="1"/>
  <c r="S44" i="30"/>
  <c r="S46" i="30" s="1"/>
  <c r="S45" i="12"/>
  <c r="S46" i="12" s="1"/>
  <c r="S38" i="26"/>
  <c r="S41" i="26" s="1"/>
  <c r="S43" i="26" s="1"/>
  <c r="S46" i="26" s="1"/>
  <c r="S41" i="21"/>
  <c r="S44" i="21" s="1"/>
  <c r="S46" i="21" s="1"/>
  <c r="S49" i="21" s="1"/>
  <c r="S38" i="28" s="1"/>
  <c r="AE13" i="43"/>
  <c r="AE13" i="36"/>
  <c r="K72" i="12"/>
  <c r="Q14" i="40"/>
  <c r="AG31" i="22"/>
  <c r="AG31" i="39"/>
  <c r="AG34" i="39" s="1"/>
  <c r="O11" i="36"/>
  <c r="AI18" i="30"/>
  <c r="AI20" i="30"/>
  <c r="AI58" i="12"/>
  <c r="V37" i="22"/>
  <c r="U30" i="34"/>
  <c r="U30" i="40"/>
  <c r="U30" i="35"/>
  <c r="U37" i="27"/>
  <c r="U35" i="31"/>
  <c r="AH66" i="12"/>
  <c r="AI15" i="40"/>
  <c r="X24" i="40"/>
  <c r="X27" i="40" s="1"/>
  <c r="S41" i="22"/>
  <c r="R31" i="34"/>
  <c r="R31" i="40"/>
  <c r="R33" i="40" s="1"/>
  <c r="R31" i="35"/>
  <c r="R33" i="35" s="1"/>
  <c r="R41" i="27"/>
  <c r="R39" i="31"/>
  <c r="AH15" i="40"/>
  <c r="AJ21" i="38"/>
  <c r="AJ36" i="38"/>
  <c r="AH13" i="22"/>
  <c r="AH15" i="34" s="1"/>
  <c r="AH13" i="39"/>
  <c r="R50" i="30"/>
  <c r="R38" i="12" s="1"/>
  <c r="R9" i="34"/>
  <c r="R9" i="40"/>
  <c r="R47" i="30"/>
  <c r="R9" i="35"/>
  <c r="R49" i="26"/>
  <c r="R50" i="26" s="1"/>
  <c r="J13" i="43"/>
  <c r="J13" i="36"/>
  <c r="J21" i="34"/>
  <c r="J36" i="34" s="1"/>
  <c r="T11" i="22"/>
  <c r="T13" i="34"/>
  <c r="S22" i="42"/>
  <c r="S20" i="42" s="1"/>
  <c r="T13" i="40"/>
  <c r="S22" i="29"/>
  <c r="S20" i="29" s="1"/>
  <c r="S11" i="31"/>
  <c r="T13" i="35"/>
  <c r="S11" i="27"/>
  <c r="AG14" i="40"/>
  <c r="S16" i="40"/>
  <c r="I47" i="42"/>
  <c r="I15" i="27"/>
  <c r="I25" i="27" s="1"/>
  <c r="I47" i="27" s="1"/>
  <c r="I47" i="29"/>
  <c r="R67" i="12"/>
  <c r="L73" i="28"/>
  <c r="M9" i="28"/>
  <c r="M70" i="28" s="1"/>
  <c r="AH20" i="30"/>
  <c r="AI11" i="22"/>
  <c r="AI11" i="39"/>
  <c r="J9" i="43"/>
  <c r="J9" i="36"/>
  <c r="AM11" i="29"/>
  <c r="AL15" i="29"/>
  <c r="Y18" i="22"/>
  <c r="X20" i="22"/>
  <c r="T19" i="40"/>
  <c r="T13" i="22"/>
  <c r="U33" i="22"/>
  <c r="T42" i="42"/>
  <c r="T40" i="42" s="1"/>
  <c r="T19" i="34"/>
  <c r="T19" i="35"/>
  <c r="T33" i="27"/>
  <c r="T42" i="29"/>
  <c r="T40" i="29" s="1"/>
  <c r="N42" i="39"/>
  <c r="M43" i="39"/>
  <c r="AJ21" i="29"/>
  <c r="AG12" i="22"/>
  <c r="AG12" i="39"/>
  <c r="Q33" i="35"/>
  <c r="Q9" i="28"/>
  <c r="O73" i="28"/>
  <c r="M40" i="31"/>
  <c r="M41" i="31" s="1"/>
  <c r="N42" i="22"/>
  <c r="M42" i="27"/>
  <c r="M43" i="27" s="1"/>
  <c r="M43" i="22"/>
  <c r="AG15" i="34"/>
  <c r="AH12" i="43"/>
  <c r="AH12" i="36"/>
  <c r="AH12" i="22"/>
  <c r="AH12" i="39"/>
  <c r="K31" i="22"/>
  <c r="AF14" i="34"/>
  <c r="AK16" i="38"/>
  <c r="S15" i="43"/>
  <c r="S15" i="36"/>
  <c r="AI31" i="29"/>
  <c r="AI32" i="29" s="1"/>
  <c r="AH60" i="12"/>
  <c r="AI25" i="29"/>
  <c r="AI26" i="29" s="1"/>
  <c r="AI25" i="42"/>
  <c r="AI26" i="42" s="1"/>
  <c r="AI31" i="42"/>
  <c r="AI32" i="42" s="1"/>
  <c r="AI45" i="29"/>
  <c r="AI33" i="22"/>
  <c r="AI33" i="39"/>
  <c r="AK13" i="30"/>
  <c r="AL13" i="38"/>
  <c r="AL16" i="38" s="1"/>
  <c r="Q14" i="35"/>
  <c r="X24" i="34"/>
  <c r="X27" i="34" s="1"/>
  <c r="Q11" i="43"/>
  <c r="Q11" i="36"/>
  <c r="T66" i="12"/>
  <c r="S45" i="42"/>
  <c r="S44" i="42" s="1"/>
  <c r="T15" i="35"/>
  <c r="S45" i="29"/>
  <c r="S44" i="29" s="1"/>
  <c r="S13" i="27"/>
  <c r="R45" i="28"/>
  <c r="R67" i="28" s="1"/>
  <c r="S43" i="28"/>
  <c r="AO15" i="42"/>
  <c r="AP11" i="42"/>
  <c r="AI59" i="12"/>
  <c r="AI13" i="34"/>
  <c r="AJ13" i="40"/>
  <c r="Q33" i="40"/>
  <c r="S15" i="35"/>
  <c r="S66" i="12"/>
  <c r="S67" i="12" s="1"/>
  <c r="U33" i="39"/>
  <c r="T13" i="39"/>
  <c r="AG66" i="12"/>
  <c r="AG12" i="43"/>
  <c r="AG12" i="36"/>
  <c r="S18" i="39"/>
  <c r="R20" i="39"/>
  <c r="R22" i="39" s="1"/>
  <c r="AF61" i="12"/>
  <c r="T14" i="22"/>
  <c r="S14" i="27"/>
  <c r="S13" i="31"/>
  <c r="AJ16" i="30"/>
  <c r="AK21" i="29"/>
  <c r="AK21" i="42"/>
  <c r="T41" i="30"/>
  <c r="U32" i="22"/>
  <c r="T18" i="34"/>
  <c r="T18" i="40"/>
  <c r="T38" i="38"/>
  <c r="T41" i="38" s="1"/>
  <c r="T43" i="38" s="1"/>
  <c r="T18" i="35"/>
  <c r="T32" i="27"/>
  <c r="T31" i="31"/>
  <c r="AG39" i="30"/>
  <c r="AG21" i="30"/>
  <c r="W40" i="39"/>
  <c r="AB13" i="43"/>
  <c r="AB13" i="36"/>
  <c r="J10" i="27"/>
  <c r="J23" i="36"/>
  <c r="J15" i="22"/>
  <c r="J25" i="22" s="1"/>
  <c r="J47" i="22" s="1"/>
  <c r="J10" i="31"/>
  <c r="J14" i="31" s="1"/>
  <c r="J24" i="31" s="1"/>
  <c r="J45" i="31" s="1"/>
  <c r="J43" i="35"/>
  <c r="J44" i="35" s="1"/>
  <c r="J43" i="34"/>
  <c r="R12" i="22"/>
  <c r="R14" i="34"/>
  <c r="Q26" i="42"/>
  <c r="Q24" i="42" s="1"/>
  <c r="R14" i="40"/>
  <c r="Q12" i="27"/>
  <c r="Q26" i="29"/>
  <c r="Q24" i="29" s="1"/>
  <c r="Q12" i="31"/>
  <c r="R14" i="35"/>
  <c r="K31" i="39"/>
  <c r="Q69" i="12"/>
  <c r="U21" i="22"/>
  <c r="T20" i="31"/>
  <c r="T21" i="31" s="1"/>
  <c r="T21" i="27"/>
  <c r="T22" i="27" s="1"/>
  <c r="T22" i="22"/>
  <c r="AJ21" i="42"/>
  <c r="Q14" i="43"/>
  <c r="Q14" i="36"/>
  <c r="Q33" i="34"/>
  <c r="S15" i="40"/>
  <c r="T40" i="22"/>
  <c r="S40" i="27"/>
  <c r="S38" i="31"/>
  <c r="AK41" i="42" l="1"/>
  <c r="AK42" i="42" s="1"/>
  <c r="AK45" i="42" s="1"/>
  <c r="AK22" i="42"/>
  <c r="U14" i="22"/>
  <c r="U16" i="40"/>
  <c r="U16" i="35"/>
  <c r="T13" i="31"/>
  <c r="T14" i="27"/>
  <c r="U13" i="39"/>
  <c r="V33" i="39"/>
  <c r="V13" i="39" s="1"/>
  <c r="AI12" i="43"/>
  <c r="AI12" i="36"/>
  <c r="S45" i="28"/>
  <c r="T43" i="28"/>
  <c r="K17" i="40"/>
  <c r="K21" i="40" s="1"/>
  <c r="K36" i="40" s="1"/>
  <c r="K40" i="40" s="1"/>
  <c r="L38" i="40" s="1"/>
  <c r="K17" i="34"/>
  <c r="K32" i="42"/>
  <c r="K30" i="42" s="1"/>
  <c r="K17" i="35"/>
  <c r="K21" i="35" s="1"/>
  <c r="K36" i="35" s="1"/>
  <c r="K40" i="35" s="1"/>
  <c r="L38" i="35" s="1"/>
  <c r="K30" i="31"/>
  <c r="K32" i="31" s="1"/>
  <c r="K43" i="31" s="1"/>
  <c r="K31" i="27"/>
  <c r="K34" i="27" s="1"/>
  <c r="K45" i="27" s="1"/>
  <c r="K34" i="22"/>
  <c r="K45" i="22" s="1"/>
  <c r="K50" i="27" s="1"/>
  <c r="K51" i="27" s="1"/>
  <c r="K32" i="29"/>
  <c r="K30" i="29" s="1"/>
  <c r="L65" i="12"/>
  <c r="L67" i="12" s="1"/>
  <c r="L69" i="12" s="1"/>
  <c r="AC9" i="28"/>
  <c r="Q70" i="28"/>
  <c r="AH61" i="12"/>
  <c r="AH14" i="34"/>
  <c r="AI14" i="40"/>
  <c r="T45" i="42"/>
  <c r="T44" i="42" s="1"/>
  <c r="T13" i="27"/>
  <c r="T45" i="29"/>
  <c r="T44" i="29" s="1"/>
  <c r="AL13" i="30"/>
  <c r="AM13" i="38"/>
  <c r="AM16" i="38" s="1"/>
  <c r="N9" i="28"/>
  <c r="N70" i="28" s="1"/>
  <c r="N73" i="28" s="1"/>
  <c r="M73" i="28"/>
  <c r="T12" i="43"/>
  <c r="T12" i="36"/>
  <c r="R11" i="43"/>
  <c r="R11" i="36"/>
  <c r="W37" i="22"/>
  <c r="V30" i="34"/>
  <c r="V30" i="40"/>
  <c r="V30" i="35"/>
  <c r="V37" i="27"/>
  <c r="V35" i="31"/>
  <c r="O27" i="36"/>
  <c r="AG65" i="12"/>
  <c r="AG17" i="34"/>
  <c r="AH17" i="40"/>
  <c r="S67" i="28"/>
  <c r="AH65" i="12"/>
  <c r="AH17" i="34"/>
  <c r="AI17" i="40"/>
  <c r="AJ22" i="42"/>
  <c r="AJ41" i="42"/>
  <c r="AJ42" i="42" s="1"/>
  <c r="AJ45" i="42" s="1"/>
  <c r="U20" i="31"/>
  <c r="U21" i="31" s="1"/>
  <c r="U21" i="27"/>
  <c r="U22" i="27" s="1"/>
  <c r="V21" i="22"/>
  <c r="U22" i="22"/>
  <c r="T15" i="43"/>
  <c r="T15" i="36"/>
  <c r="AK22" i="29"/>
  <c r="AK41" i="29"/>
  <c r="AK42" i="29" s="1"/>
  <c r="T16" i="35"/>
  <c r="AP15" i="42"/>
  <c r="AQ15" i="42" s="1"/>
  <c r="AQ11" i="42"/>
  <c r="T15" i="40"/>
  <c r="AI19" i="34"/>
  <c r="AJ19" i="40"/>
  <c r="AI12" i="22"/>
  <c r="AI12" i="39"/>
  <c r="AK18" i="38"/>
  <c r="AK20" i="38" s="1"/>
  <c r="N42" i="27"/>
  <c r="N43" i="27" s="1"/>
  <c r="N40" i="31"/>
  <c r="N41" i="31" s="1"/>
  <c r="Q42" i="22"/>
  <c r="N43" i="22"/>
  <c r="Q42" i="39"/>
  <c r="N43" i="39"/>
  <c r="AM15" i="29"/>
  <c r="AN11" i="29"/>
  <c r="U11" i="22"/>
  <c r="U13" i="34" s="1"/>
  <c r="T22" i="42"/>
  <c r="T20" i="42" s="1"/>
  <c r="U13" i="40"/>
  <c r="T11" i="31"/>
  <c r="T22" i="29"/>
  <c r="T20" i="29" s="1"/>
  <c r="U13" i="35"/>
  <c r="T11" i="27"/>
  <c r="R69" i="12"/>
  <c r="AH14" i="40"/>
  <c r="R14" i="43"/>
  <c r="R14" i="36"/>
  <c r="R33" i="34"/>
  <c r="AF13" i="43"/>
  <c r="AF13" i="36"/>
  <c r="T40" i="27"/>
  <c r="U40" i="22"/>
  <c r="T38" i="31"/>
  <c r="AJ18" i="30"/>
  <c r="AJ58" i="12"/>
  <c r="T16" i="40"/>
  <c r="T18" i="39"/>
  <c r="S20" i="39"/>
  <c r="S22" i="39" s="1"/>
  <c r="AL18" i="38"/>
  <c r="AL20" i="38" s="1"/>
  <c r="AI13" i="22"/>
  <c r="AI13" i="39"/>
  <c r="AI61" i="12"/>
  <c r="AI14" i="34"/>
  <c r="AJ14" i="40"/>
  <c r="AH39" i="30"/>
  <c r="AH21" i="30"/>
  <c r="AG14" i="34"/>
  <c r="T41" i="22"/>
  <c r="S31" i="34"/>
  <c r="S31" i="40"/>
  <c r="S31" i="35"/>
  <c r="S41" i="27"/>
  <c r="S39" i="31"/>
  <c r="AI39" i="30"/>
  <c r="AI21" i="30"/>
  <c r="L9" i="12"/>
  <c r="L72" i="12" s="1"/>
  <c r="K10" i="22"/>
  <c r="K10" i="39"/>
  <c r="K15" i="39" s="1"/>
  <c r="K25" i="39" s="1"/>
  <c r="K75" i="12"/>
  <c r="S44" i="38"/>
  <c r="S46" i="38"/>
  <c r="V32" i="22"/>
  <c r="U41" i="30"/>
  <c r="U18" i="34"/>
  <c r="U18" i="40"/>
  <c r="U38" i="38"/>
  <c r="U41" i="38" s="1"/>
  <c r="U43" i="38" s="1"/>
  <c r="U18" i="35"/>
  <c r="U32" i="27"/>
  <c r="U31" i="31"/>
  <c r="L31" i="39"/>
  <c r="K34" i="39"/>
  <c r="K45" i="39" s="1"/>
  <c r="S12" i="22"/>
  <c r="S14" i="34"/>
  <c r="R26" i="42"/>
  <c r="R24" i="42" s="1"/>
  <c r="S14" i="40"/>
  <c r="R26" i="29"/>
  <c r="R24" i="29" s="1"/>
  <c r="S14" i="35"/>
  <c r="R12" i="31"/>
  <c r="R12" i="27"/>
  <c r="J47" i="42"/>
  <c r="J47" i="29"/>
  <c r="J15" i="27"/>
  <c r="J25" i="27" s="1"/>
  <c r="J47" i="27" s="1"/>
  <c r="X40" i="39"/>
  <c r="T46" i="38"/>
  <c r="T44" i="38"/>
  <c r="T44" i="30"/>
  <c r="T46" i="30" s="1"/>
  <c r="T45" i="12"/>
  <c r="T38" i="26"/>
  <c r="T41" i="21"/>
  <c r="T44" i="21" s="1"/>
  <c r="T46" i="21" s="1"/>
  <c r="T49" i="21" s="1"/>
  <c r="T38" i="28" s="1"/>
  <c r="T16" i="34"/>
  <c r="T15" i="34"/>
  <c r="Y24" i="40"/>
  <c r="Y27" i="40" s="1"/>
  <c r="AK16" i="30"/>
  <c r="AL21" i="29"/>
  <c r="AL21" i="42"/>
  <c r="AI31" i="22"/>
  <c r="AI31" i="39"/>
  <c r="AI34" i="39" s="1"/>
  <c r="AJ41" i="29"/>
  <c r="AJ42" i="29" s="1"/>
  <c r="AJ22" i="29"/>
  <c r="U19" i="40"/>
  <c r="V33" i="22"/>
  <c r="U13" i="22"/>
  <c r="U19" i="34"/>
  <c r="U42" i="42"/>
  <c r="U40" i="42" s="1"/>
  <c r="U19" i="35"/>
  <c r="U33" i="27"/>
  <c r="U42" i="29"/>
  <c r="U40" i="29" s="1"/>
  <c r="Z18" i="22"/>
  <c r="Y20" i="22"/>
  <c r="Z24" i="40" s="1"/>
  <c r="Z27" i="40" s="1"/>
  <c r="J40" i="34"/>
  <c r="K38" i="34" s="1"/>
  <c r="J16" i="43"/>
  <c r="J18" i="43" s="1"/>
  <c r="J20" i="43" s="1"/>
  <c r="J16" i="36"/>
  <c r="J18" i="36" s="1"/>
  <c r="J20" i="36" s="1"/>
  <c r="J24" i="36" s="1"/>
  <c r="AI66" i="12"/>
  <c r="AI15" i="34"/>
  <c r="AJ15" i="40"/>
  <c r="AG61" i="12"/>
  <c r="AJ31" i="29"/>
  <c r="AJ32" i="29" s="1"/>
  <c r="AJ25" i="29"/>
  <c r="AJ26" i="29" s="1"/>
  <c r="AI60" i="12"/>
  <c r="AJ31" i="42"/>
  <c r="AJ32" i="42" s="1"/>
  <c r="AJ25" i="42"/>
  <c r="AJ26" i="42" s="1"/>
  <c r="S50" i="30"/>
  <c r="S38" i="12" s="1"/>
  <c r="S9" i="34"/>
  <c r="S9" i="40"/>
  <c r="S49" i="26"/>
  <c r="S50" i="26" s="1"/>
  <c r="S47" i="30"/>
  <c r="S9" i="35"/>
  <c r="U12" i="43" l="1"/>
  <c r="U12" i="36"/>
  <c r="AK21" i="38"/>
  <c r="AK36" i="38"/>
  <c r="AL21" i="38"/>
  <c r="AL36" i="38"/>
  <c r="S69" i="12"/>
  <c r="AK20" i="30"/>
  <c r="AK58" i="12"/>
  <c r="AK18" i="30"/>
  <c r="K9" i="43"/>
  <c r="K9" i="36"/>
  <c r="AJ11" i="22"/>
  <c r="AJ11" i="39"/>
  <c r="AI65" i="12"/>
  <c r="AI17" i="34"/>
  <c r="AJ17" i="40"/>
  <c r="U46" i="38"/>
  <c r="U44" i="38"/>
  <c r="AJ12" i="22"/>
  <c r="AJ14" i="34" s="1"/>
  <c r="AJ12" i="39"/>
  <c r="U45" i="42"/>
  <c r="U44" i="42" s="1"/>
  <c r="U13" i="27"/>
  <c r="U45" i="29"/>
  <c r="U44" i="29" s="1"/>
  <c r="AJ33" i="22"/>
  <c r="AJ45" i="29"/>
  <c r="AJ33" i="39"/>
  <c r="AL41" i="42"/>
  <c r="AL42" i="42" s="1"/>
  <c r="AL45" i="42" s="1"/>
  <c r="AL22" i="42"/>
  <c r="T46" i="12"/>
  <c r="T12" i="22"/>
  <c r="S26" i="42"/>
  <c r="S24" i="42" s="1"/>
  <c r="T14" i="40"/>
  <c r="T14" i="35"/>
  <c r="S26" i="29"/>
  <c r="S24" i="29" s="1"/>
  <c r="S12" i="31"/>
  <c r="S12" i="27"/>
  <c r="U41" i="22"/>
  <c r="T31" i="34"/>
  <c r="T31" i="40"/>
  <c r="T33" i="40" s="1"/>
  <c r="T31" i="35"/>
  <c r="T33" i="35" s="1"/>
  <c r="T41" i="27"/>
  <c r="T39" i="31"/>
  <c r="J44" i="34"/>
  <c r="R42" i="39"/>
  <c r="Q43" i="39"/>
  <c r="AJ61" i="12"/>
  <c r="W30" i="40"/>
  <c r="L31" i="22"/>
  <c r="V14" i="22"/>
  <c r="V16" i="40"/>
  <c r="W16" i="40" s="1"/>
  <c r="V16" i="35"/>
  <c r="AC16" i="35" s="1"/>
  <c r="U14" i="27"/>
  <c r="U13" i="31"/>
  <c r="AA18" i="22"/>
  <c r="Z20" i="22"/>
  <c r="AA24" i="40" s="1"/>
  <c r="AA27" i="40" s="1"/>
  <c r="T41" i="26"/>
  <c r="T43" i="26" s="1"/>
  <c r="T46" i="26" s="1"/>
  <c r="S11" i="43"/>
  <c r="S11" i="36"/>
  <c r="AJ31" i="22"/>
  <c r="AJ31" i="39"/>
  <c r="AJ34" i="39" s="1"/>
  <c r="Z24" i="34"/>
  <c r="Z27" i="34" s="1"/>
  <c r="V19" i="40"/>
  <c r="V13" i="22"/>
  <c r="V19" i="34"/>
  <c r="V42" i="42"/>
  <c r="V40" i="42" s="1"/>
  <c r="V33" i="27"/>
  <c r="V19" i="35"/>
  <c r="AC19" i="35" s="1"/>
  <c r="M34" i="32"/>
  <c r="V42" i="29"/>
  <c r="V40" i="29" s="1"/>
  <c r="X19" i="40"/>
  <c r="W19" i="34"/>
  <c r="AC19" i="34" s="1"/>
  <c r="AL41" i="29"/>
  <c r="AL42" i="29" s="1"/>
  <c r="AL22" i="29"/>
  <c r="T50" i="30"/>
  <c r="T38" i="12" s="1"/>
  <c r="T9" i="34"/>
  <c r="T9" i="40"/>
  <c r="T47" i="30"/>
  <c r="T9" i="35"/>
  <c r="T49" i="26"/>
  <c r="T50" i="26" s="1"/>
  <c r="Y40" i="39"/>
  <c r="U15" i="43"/>
  <c r="U15" i="36"/>
  <c r="S33" i="35"/>
  <c r="Y24" i="34"/>
  <c r="Y27" i="34" s="1"/>
  <c r="V11" i="22"/>
  <c r="V13" i="34" s="1"/>
  <c r="U22" i="42"/>
  <c r="U20" i="42" s="1"/>
  <c r="V13" i="40"/>
  <c r="W13" i="40" s="1"/>
  <c r="U11" i="31"/>
  <c r="U11" i="27"/>
  <c r="U22" i="29"/>
  <c r="U20" i="29" s="1"/>
  <c r="AN15" i="29"/>
  <c r="AO11" i="29"/>
  <c r="AK45" i="29"/>
  <c r="AK33" i="22"/>
  <c r="AK33" i="39"/>
  <c r="AG13" i="43"/>
  <c r="AG13" i="36"/>
  <c r="U15" i="34"/>
  <c r="U43" i="28"/>
  <c r="T45" i="28"/>
  <c r="U16" i="34"/>
  <c r="W19" i="40"/>
  <c r="T67" i="28"/>
  <c r="L34" i="39"/>
  <c r="L45" i="39" s="1"/>
  <c r="U44" i="30"/>
  <c r="U46" i="30" s="1"/>
  <c r="U45" i="12"/>
  <c r="U46" i="12" s="1"/>
  <c r="U41" i="21"/>
  <c r="U44" i="21" s="1"/>
  <c r="U46" i="21" s="1"/>
  <c r="U49" i="21" s="1"/>
  <c r="U38" i="28" s="1"/>
  <c r="U38" i="26"/>
  <c r="U41" i="26" s="1"/>
  <c r="U43" i="26" s="1"/>
  <c r="U46" i="26" s="1"/>
  <c r="K10" i="27"/>
  <c r="K23" i="36"/>
  <c r="K43" i="35"/>
  <c r="K44" i="35" s="1"/>
  <c r="K10" i="31"/>
  <c r="K14" i="31" s="1"/>
  <c r="K24" i="31" s="1"/>
  <c r="K45" i="31" s="1"/>
  <c r="K43" i="34"/>
  <c r="K15" i="22"/>
  <c r="K25" i="22" s="1"/>
  <c r="K47" i="22" s="1"/>
  <c r="S33" i="40"/>
  <c r="AJ60" i="12"/>
  <c r="AK25" i="29"/>
  <c r="AK26" i="29" s="1"/>
  <c r="AK31" i="29"/>
  <c r="AK32" i="29" s="1"/>
  <c r="AK25" i="42"/>
  <c r="AK26" i="42" s="1"/>
  <c r="AK31" i="42"/>
  <c r="AK32" i="42" s="1"/>
  <c r="AM13" i="30"/>
  <c r="AN13" i="38"/>
  <c r="AN16" i="38" s="1"/>
  <c r="Q42" i="27"/>
  <c r="Q43" i="27" s="1"/>
  <c r="Q40" i="31"/>
  <c r="Q41" i="31" s="1"/>
  <c r="R42" i="22"/>
  <c r="Q43" i="22"/>
  <c r="AK11" i="22"/>
  <c r="AK11" i="39"/>
  <c r="V20" i="31"/>
  <c r="V21" i="31" s="1"/>
  <c r="V21" i="27"/>
  <c r="V22" i="27" s="1"/>
  <c r="W21" i="22"/>
  <c r="V22" i="22"/>
  <c r="AH13" i="43"/>
  <c r="AH13" i="36"/>
  <c r="X37" i="22"/>
  <c r="W30" i="34"/>
  <c r="W33" i="34" s="1"/>
  <c r="X30" i="40"/>
  <c r="X33" i="40" s="1"/>
  <c r="AM18" i="38"/>
  <c r="AM20" i="38" s="1"/>
  <c r="U15" i="35"/>
  <c r="U66" i="12"/>
  <c r="Q73" i="28"/>
  <c r="R9" i="28"/>
  <c r="R70" i="28" s="1"/>
  <c r="V41" i="30"/>
  <c r="W32" i="22"/>
  <c r="V18" i="34"/>
  <c r="V38" i="38"/>
  <c r="V41" i="38" s="1"/>
  <c r="V43" i="38" s="1"/>
  <c r="V18" i="40"/>
  <c r="W18" i="40" s="1"/>
  <c r="V18" i="35"/>
  <c r="AC18" i="35" s="1"/>
  <c r="V32" i="27"/>
  <c r="V31" i="31"/>
  <c r="L10" i="22"/>
  <c r="M9" i="12"/>
  <c r="L10" i="39"/>
  <c r="L15" i="39" s="1"/>
  <c r="L25" i="39" s="1"/>
  <c r="L75" i="12"/>
  <c r="S14" i="43"/>
  <c r="S14" i="36"/>
  <c r="S33" i="34"/>
  <c r="U18" i="39"/>
  <c r="T20" i="39"/>
  <c r="T22" i="39" s="1"/>
  <c r="AJ20" i="30"/>
  <c r="U38" i="31"/>
  <c r="V40" i="22"/>
  <c r="U40" i="27"/>
  <c r="AC30" i="35"/>
  <c r="AM21" i="29"/>
  <c r="AL16" i="30"/>
  <c r="AM21" i="42"/>
  <c r="U15" i="40"/>
  <c r="K13" i="43"/>
  <c r="K13" i="36"/>
  <c r="K21" i="34"/>
  <c r="K36" i="34" s="1"/>
  <c r="AM21" i="38" l="1"/>
  <c r="AM36" i="38"/>
  <c r="V12" i="43"/>
  <c r="V12" i="36"/>
  <c r="AM41" i="42"/>
  <c r="AM42" i="42" s="1"/>
  <c r="AM45" i="42" s="1"/>
  <c r="AM22" i="42"/>
  <c r="X21" i="22"/>
  <c r="W22" i="22"/>
  <c r="V18" i="39"/>
  <c r="U20" i="39"/>
  <c r="U22" i="39" s="1"/>
  <c r="K16" i="43"/>
  <c r="K40" i="34"/>
  <c r="L38" i="34" s="1"/>
  <c r="K16" i="36"/>
  <c r="AJ39" i="30"/>
  <c r="AJ21" i="30"/>
  <c r="W41" i="30"/>
  <c r="X32" i="22"/>
  <c r="W18" i="34"/>
  <c r="X18" i="40"/>
  <c r="X38" i="38"/>
  <c r="X41" i="38" s="1"/>
  <c r="X43" i="38" s="1"/>
  <c r="W34" i="22"/>
  <c r="R73" i="28"/>
  <c r="S9" i="28"/>
  <c r="S70" i="28" s="1"/>
  <c r="Y37" i="22"/>
  <c r="X30" i="34"/>
  <c r="X33" i="34" s="1"/>
  <c r="Y30" i="40"/>
  <c r="Y33" i="40" s="1"/>
  <c r="K44" i="34"/>
  <c r="K47" i="42"/>
  <c r="K47" i="29"/>
  <c r="K15" i="27"/>
  <c r="K25" i="27" s="1"/>
  <c r="K47" i="27" s="1"/>
  <c r="U50" i="30"/>
  <c r="U38" i="12" s="1"/>
  <c r="U9" i="34"/>
  <c r="U9" i="40"/>
  <c r="U47" i="30"/>
  <c r="U49" i="26"/>
  <c r="U50" i="26" s="1"/>
  <c r="U9" i="35"/>
  <c r="U45" i="28"/>
  <c r="V43" i="28"/>
  <c r="V45" i="28" s="1"/>
  <c r="AP11" i="29"/>
  <c r="AO15" i="29"/>
  <c r="Z40" i="39"/>
  <c r="AL45" i="29"/>
  <c r="AL33" i="22"/>
  <c r="AL33" i="39"/>
  <c r="W14" i="22"/>
  <c r="W16" i="34" s="1"/>
  <c r="V13" i="31"/>
  <c r="V14" i="27"/>
  <c r="V41" i="22"/>
  <c r="U31" i="34"/>
  <c r="U31" i="40"/>
  <c r="U31" i="35"/>
  <c r="U39" i="31"/>
  <c r="U41" i="27"/>
  <c r="U12" i="22"/>
  <c r="T26" i="42"/>
  <c r="T24" i="42" s="1"/>
  <c r="U14" i="40"/>
  <c r="T12" i="27"/>
  <c r="T12" i="31"/>
  <c r="T26" i="29"/>
  <c r="T24" i="29" s="1"/>
  <c r="U14" i="35"/>
  <c r="AK59" i="12"/>
  <c r="AK13" i="34"/>
  <c r="AL13" i="40"/>
  <c r="AJ13" i="34"/>
  <c r="AK13" i="40"/>
  <c r="AJ59" i="12"/>
  <c r="V45" i="12"/>
  <c r="V46" i="12" s="1"/>
  <c r="V44" i="30"/>
  <c r="V46" i="30" s="1"/>
  <c r="V38" i="26"/>
  <c r="V41" i="26" s="1"/>
  <c r="V43" i="26" s="1"/>
  <c r="V46" i="26" s="1"/>
  <c r="V41" i="21"/>
  <c r="V44" i="21" s="1"/>
  <c r="V46" i="21" s="1"/>
  <c r="V49" i="21" s="1"/>
  <c r="V38" i="28" s="1"/>
  <c r="V67" i="28" s="1"/>
  <c r="AK31" i="22"/>
  <c r="AK31" i="39"/>
  <c r="AK19" i="34"/>
  <c r="AL19" i="40"/>
  <c r="AN13" i="30"/>
  <c r="AO13" i="38"/>
  <c r="AO16" i="38" s="1"/>
  <c r="W59" i="12"/>
  <c r="W13" i="34"/>
  <c r="X13" i="40"/>
  <c r="AD13" i="40" s="1"/>
  <c r="V22" i="42"/>
  <c r="V20" i="42" s="1"/>
  <c r="V11" i="27"/>
  <c r="V22" i="29"/>
  <c r="V20" i="29" s="1"/>
  <c r="V11" i="31"/>
  <c r="T11" i="43"/>
  <c r="T11" i="36"/>
  <c r="W66" i="12"/>
  <c r="V45" i="42"/>
  <c r="V44" i="42" s="1"/>
  <c r="W15" i="34"/>
  <c r="X15" i="40"/>
  <c r="AD15" i="40" s="1"/>
  <c r="L34" i="32"/>
  <c r="V13" i="27"/>
  <c r="V45" i="29"/>
  <c r="V44" i="29" s="1"/>
  <c r="L17" i="40"/>
  <c r="L21" i="40" s="1"/>
  <c r="L36" i="40" s="1"/>
  <c r="L40" i="40" s="1"/>
  <c r="M38" i="40" s="1"/>
  <c r="L17" i="34"/>
  <c r="L32" i="42"/>
  <c r="L30" i="42" s="1"/>
  <c r="L34" i="22"/>
  <c r="L45" i="22" s="1"/>
  <c r="L50" i="27" s="1"/>
  <c r="L51" i="27" s="1"/>
  <c r="L17" i="35"/>
  <c r="L21" i="35" s="1"/>
  <c r="L36" i="35" s="1"/>
  <c r="L40" i="35" s="1"/>
  <c r="M38" i="35" s="1"/>
  <c r="L30" i="31"/>
  <c r="L32" i="31" s="1"/>
  <c r="L43" i="31" s="1"/>
  <c r="L31" i="27"/>
  <c r="L34" i="27" s="1"/>
  <c r="L45" i="27" s="1"/>
  <c r="L32" i="29"/>
  <c r="L30" i="29" s="1"/>
  <c r="M65" i="12"/>
  <c r="V15" i="34"/>
  <c r="AI13" i="43"/>
  <c r="AI13" i="36"/>
  <c r="AK39" i="30"/>
  <c r="AK21" i="30"/>
  <c r="K18" i="43"/>
  <c r="U67" i="28"/>
  <c r="AK13" i="22"/>
  <c r="AK13" i="39"/>
  <c r="AD19" i="40"/>
  <c r="AC38" i="26"/>
  <c r="AC41" i="26" s="1"/>
  <c r="AC43" i="26" s="1"/>
  <c r="AC46" i="26" s="1"/>
  <c r="AA20" i="22"/>
  <c r="AA24" i="34" s="1"/>
  <c r="AA27" i="34" s="1"/>
  <c r="AB18" i="22"/>
  <c r="AJ13" i="22"/>
  <c r="AJ13" i="39"/>
  <c r="V15" i="35"/>
  <c r="AC15" i="35" s="1"/>
  <c r="V66" i="12"/>
  <c r="AC66" i="12" s="1"/>
  <c r="K20" i="43"/>
  <c r="K18" i="36"/>
  <c r="K20" i="36" s="1"/>
  <c r="K24" i="36" s="1"/>
  <c r="L10" i="27"/>
  <c r="L23" i="36"/>
  <c r="L43" i="35"/>
  <c r="L44" i="35" s="1"/>
  <c r="L15" i="22"/>
  <c r="L25" i="22" s="1"/>
  <c r="L47" i="22" s="1"/>
  <c r="L10" i="31"/>
  <c r="L14" i="31" s="1"/>
  <c r="L24" i="31" s="1"/>
  <c r="L45" i="31" s="1"/>
  <c r="L43" i="34"/>
  <c r="AM13" i="40"/>
  <c r="AL58" i="12"/>
  <c r="AL18" i="30"/>
  <c r="AL20" i="30"/>
  <c r="W40" i="22"/>
  <c r="V38" i="31"/>
  <c r="V40" i="27"/>
  <c r="V46" i="38"/>
  <c r="V44" i="38"/>
  <c r="AN18" i="38"/>
  <c r="AN20" i="38" s="1"/>
  <c r="AK12" i="22"/>
  <c r="AK12" i="39"/>
  <c r="AM41" i="29"/>
  <c r="AM42" i="29" s="1"/>
  <c r="AM22" i="29"/>
  <c r="V15" i="43"/>
  <c r="V15" i="36"/>
  <c r="R42" i="27"/>
  <c r="R43" i="27" s="1"/>
  <c r="S42" i="22"/>
  <c r="R40" i="31"/>
  <c r="R41" i="31" s="1"/>
  <c r="R43" i="22"/>
  <c r="AM16" i="30"/>
  <c r="AN21" i="29"/>
  <c r="AN21" i="42"/>
  <c r="AC38" i="28"/>
  <c r="AC67" i="28" s="1"/>
  <c r="AC70" i="28" s="1"/>
  <c r="W38" i="38"/>
  <c r="W41" i="38" s="1"/>
  <c r="W43" i="38" s="1"/>
  <c r="V13" i="35"/>
  <c r="AC13" i="35" s="1"/>
  <c r="AL11" i="22"/>
  <c r="AL13" i="34" s="1"/>
  <c r="AL11" i="39"/>
  <c r="AJ65" i="12"/>
  <c r="AJ17" i="34"/>
  <c r="AK17" i="40"/>
  <c r="V16" i="34"/>
  <c r="AK14" i="40"/>
  <c r="S42" i="39"/>
  <c r="R43" i="39"/>
  <c r="T14" i="43"/>
  <c r="T14" i="36"/>
  <c r="T33" i="34"/>
  <c r="T14" i="34"/>
  <c r="AJ19" i="34"/>
  <c r="AK19" i="40"/>
  <c r="V15" i="40"/>
  <c r="W15" i="40" s="1"/>
  <c r="AL31" i="29"/>
  <c r="AL32" i="29" s="1"/>
  <c r="AK60" i="12"/>
  <c r="AL25" i="29"/>
  <c r="AL26" i="29" s="1"/>
  <c r="AL31" i="42"/>
  <c r="AL32" i="42" s="1"/>
  <c r="AL25" i="42"/>
  <c r="AL26" i="42" s="1"/>
  <c r="AN21" i="38" l="1"/>
  <c r="AN36" i="38"/>
  <c r="AL12" i="43"/>
  <c r="AL12" i="36"/>
  <c r="AL12" i="22"/>
  <c r="AL12" i="39"/>
  <c r="T42" i="39"/>
  <c r="S43" i="39"/>
  <c r="AJ13" i="43"/>
  <c r="AJ13" i="36"/>
  <c r="AN22" i="42"/>
  <c r="AN41" i="42"/>
  <c r="AN42" i="42" s="1"/>
  <c r="AN45" i="42" s="1"/>
  <c r="M67" i="12"/>
  <c r="M69" i="12" s="1"/>
  <c r="M72" i="12" s="1"/>
  <c r="M31" i="39"/>
  <c r="M31" i="22"/>
  <c r="AC59" i="12"/>
  <c r="V12" i="22"/>
  <c r="U26" i="42"/>
  <c r="U24" i="42" s="1"/>
  <c r="U12" i="27"/>
  <c r="U12" i="31"/>
  <c r="U26" i="29"/>
  <c r="U24" i="29" s="1"/>
  <c r="U33" i="40"/>
  <c r="AL13" i="22"/>
  <c r="AL13" i="39"/>
  <c r="AO13" i="30"/>
  <c r="AP13" i="38"/>
  <c r="AP16" i="38" s="1"/>
  <c r="U11" i="43"/>
  <c r="U11" i="36"/>
  <c r="Z37" i="22"/>
  <c r="Y30" i="34"/>
  <c r="Y33" i="34" s="1"/>
  <c r="Z30" i="40"/>
  <c r="Z33" i="40" s="1"/>
  <c r="X44" i="38"/>
  <c r="X46" i="38"/>
  <c r="W44" i="30"/>
  <c r="W46" i="30" s="1"/>
  <c r="W45" i="12"/>
  <c r="W46" i="38"/>
  <c r="W44" i="38"/>
  <c r="AN22" i="29"/>
  <c r="AN41" i="29"/>
  <c r="AN42" i="29" s="1"/>
  <c r="S42" i="27"/>
  <c r="S43" i="27" s="1"/>
  <c r="S40" i="31"/>
  <c r="S41" i="31" s="1"/>
  <c r="T42" i="22"/>
  <c r="S43" i="22"/>
  <c r="AL61" i="12"/>
  <c r="AL14" i="34"/>
  <c r="AM14" i="40"/>
  <c r="X40" i="22"/>
  <c r="L47" i="42"/>
  <c r="L15" i="27"/>
  <c r="L25" i="27" s="1"/>
  <c r="L47" i="27" s="1"/>
  <c r="L47" i="29"/>
  <c r="AK66" i="12"/>
  <c r="AK15" i="34"/>
  <c r="AL15" i="40"/>
  <c r="AK15" i="40"/>
  <c r="AJ66" i="12"/>
  <c r="AJ15" i="34"/>
  <c r="AL14" i="40"/>
  <c r="AO18" i="38"/>
  <c r="AO20" i="38"/>
  <c r="AJ12" i="43"/>
  <c r="AJ12" i="36"/>
  <c r="U14" i="43"/>
  <c r="U14" i="36"/>
  <c r="U33" i="34"/>
  <c r="X14" i="22"/>
  <c r="AP15" i="29"/>
  <c r="AQ11" i="29"/>
  <c r="S73" i="28"/>
  <c r="T9" i="28"/>
  <c r="T70" i="28" s="1"/>
  <c r="Y21" i="22"/>
  <c r="X22" i="22"/>
  <c r="AC73" i="28"/>
  <c r="AE9" i="28"/>
  <c r="AM18" i="30"/>
  <c r="AM20" i="30" s="1"/>
  <c r="AM58" i="12"/>
  <c r="AM11" i="22"/>
  <c r="AM11" i="39"/>
  <c r="AL39" i="30"/>
  <c r="AL21" i="30"/>
  <c r="AB20" i="22"/>
  <c r="AE18" i="22"/>
  <c r="AK14" i="34"/>
  <c r="AN16" i="30"/>
  <c r="AO21" i="29"/>
  <c r="AO21" i="42"/>
  <c r="AK65" i="12"/>
  <c r="AK17" i="34"/>
  <c r="AL17" i="40"/>
  <c r="V50" i="30"/>
  <c r="V38" i="12" s="1"/>
  <c r="V9" i="34"/>
  <c r="V9" i="40"/>
  <c r="V47" i="30"/>
  <c r="V49" i="26"/>
  <c r="V50" i="26" s="1"/>
  <c r="V9" i="35"/>
  <c r="AC9" i="35" s="1"/>
  <c r="W41" i="22"/>
  <c r="V31" i="34"/>
  <c r="V31" i="40"/>
  <c r="V33" i="40" s="1"/>
  <c r="V31" i="35"/>
  <c r="V33" i="35" s="1"/>
  <c r="V41" i="27"/>
  <c r="V39" i="31"/>
  <c r="W15" i="43"/>
  <c r="W15" i="36"/>
  <c r="W18" i="39"/>
  <c r="V20" i="39"/>
  <c r="V22" i="39" s="1"/>
  <c r="AL31" i="22"/>
  <c r="AL31" i="39"/>
  <c r="AM59" i="12"/>
  <c r="AM13" i="34"/>
  <c r="AN13" i="40"/>
  <c r="AM33" i="22"/>
  <c r="AM45" i="29"/>
  <c r="AM33" i="39"/>
  <c r="AM31" i="29"/>
  <c r="AM32" i="29" s="1"/>
  <c r="AM25" i="29"/>
  <c r="AM26" i="29" s="1"/>
  <c r="AL60" i="12"/>
  <c r="AM31" i="42"/>
  <c r="AM32" i="42" s="1"/>
  <c r="AM25" i="42"/>
  <c r="AM26" i="42" s="1"/>
  <c r="AL59" i="12"/>
  <c r="AB24" i="34"/>
  <c r="AC24" i="40"/>
  <c r="AL66" i="12"/>
  <c r="AL15" i="34"/>
  <c r="AM15" i="40"/>
  <c r="AK61" i="12"/>
  <c r="L13" i="43"/>
  <c r="L13" i="36"/>
  <c r="L21" i="34"/>
  <c r="L36" i="34" s="1"/>
  <c r="AB24" i="40"/>
  <c r="AB27" i="40" s="1"/>
  <c r="AC15" i="34"/>
  <c r="W12" i="43"/>
  <c r="AC12" i="43" s="1"/>
  <c r="W12" i="36"/>
  <c r="AC12" i="36" s="1"/>
  <c r="AK12" i="43"/>
  <c r="AK12" i="36"/>
  <c r="U14" i="34"/>
  <c r="U33" i="35"/>
  <c r="AC31" i="35"/>
  <c r="AC33" i="35" s="1"/>
  <c r="X16" i="40"/>
  <c r="AL19" i="34"/>
  <c r="AM19" i="40"/>
  <c r="AA40" i="39"/>
  <c r="Y32" i="22"/>
  <c r="X41" i="30"/>
  <c r="X18" i="34"/>
  <c r="Y18" i="40"/>
  <c r="Y38" i="38"/>
  <c r="Y41" i="38" s="1"/>
  <c r="Y43" i="38" s="1"/>
  <c r="X34" i="22"/>
  <c r="L9" i="43"/>
  <c r="L9" i="36"/>
  <c r="AC13" i="34"/>
  <c r="AM39" i="30" l="1"/>
  <c r="AM21" i="30"/>
  <c r="AM12" i="22"/>
  <c r="AM12" i="39"/>
  <c r="AM13" i="22"/>
  <c r="AM13" i="39"/>
  <c r="Y14" i="22"/>
  <c r="Y40" i="22"/>
  <c r="AN45" i="29"/>
  <c r="AN33" i="22"/>
  <c r="AN33" i="39"/>
  <c r="W50" i="30"/>
  <c r="W38" i="12" s="1"/>
  <c r="W9" i="34"/>
  <c r="X9" i="40"/>
  <c r="W47" i="30"/>
  <c r="W61" i="12"/>
  <c r="W14" i="34"/>
  <c r="V26" i="42"/>
  <c r="V24" i="42" s="1"/>
  <c r="X14" i="40"/>
  <c r="V12" i="27"/>
  <c r="V26" i="29"/>
  <c r="V24" i="29" s="1"/>
  <c r="V12" i="31"/>
  <c r="M34" i="39"/>
  <c r="M45" i="39" s="1"/>
  <c r="U42" i="39"/>
  <c r="T43" i="39"/>
  <c r="X15" i="43"/>
  <c r="X15" i="36"/>
  <c r="AM31" i="22"/>
  <c r="AM31" i="39"/>
  <c r="AM19" i="34"/>
  <c r="AN19" i="40"/>
  <c r="V14" i="43"/>
  <c r="AC14" i="43" s="1"/>
  <c r="V14" i="36"/>
  <c r="AC14" i="36" s="1"/>
  <c r="V33" i="34"/>
  <c r="AO41" i="42"/>
  <c r="AO42" i="42" s="1"/>
  <c r="AO45" i="42" s="1"/>
  <c r="AO22" i="42"/>
  <c r="Z21" i="22"/>
  <c r="Y22" i="22"/>
  <c r="X16" i="34"/>
  <c r="T40" i="31"/>
  <c r="T41" i="31" s="1"/>
  <c r="U42" i="22"/>
  <c r="T42" i="27"/>
  <c r="T43" i="27" s="1"/>
  <c r="T43" i="22"/>
  <c r="AN11" i="22"/>
  <c r="AN11" i="39"/>
  <c r="AA37" i="22"/>
  <c r="Z30" i="34"/>
  <c r="Z33" i="34" s="1"/>
  <c r="AA30" i="40"/>
  <c r="AA33" i="40" s="1"/>
  <c r="AM66" i="12"/>
  <c r="AM15" i="34"/>
  <c r="AN15" i="40"/>
  <c r="V14" i="35"/>
  <c r="AC14" i="35" s="1"/>
  <c r="V14" i="40"/>
  <c r="M10" i="22"/>
  <c r="N9" i="12"/>
  <c r="M10" i="39"/>
  <c r="M15" i="39" s="1"/>
  <c r="M25" i="39" s="1"/>
  <c r="M75" i="12"/>
  <c r="L16" i="43"/>
  <c r="L18" i="43" s="1"/>
  <c r="L20" i="43" s="1"/>
  <c r="L40" i="34"/>
  <c r="L16" i="36"/>
  <c r="AC27" i="40"/>
  <c r="AD24" i="40"/>
  <c r="AD27" i="40" s="1"/>
  <c r="X18" i="39"/>
  <c r="W20" i="39"/>
  <c r="W22" i="39" s="1"/>
  <c r="X41" i="22"/>
  <c r="W64" i="12"/>
  <c r="W9" i="40"/>
  <c r="AO41" i="29"/>
  <c r="AO42" i="29" s="1"/>
  <c r="AO22" i="29"/>
  <c r="AE20" i="22"/>
  <c r="AF18" i="22"/>
  <c r="AM60" i="12"/>
  <c r="AN25" i="42"/>
  <c r="AN26" i="42" s="1"/>
  <c r="AN31" i="42"/>
  <c r="AN32" i="42" s="1"/>
  <c r="T73" i="28"/>
  <c r="U9" i="28"/>
  <c r="U70" i="28" s="1"/>
  <c r="AP13" i="30"/>
  <c r="AQ13" i="38"/>
  <c r="AQ15" i="29"/>
  <c r="AC31" i="34"/>
  <c r="AO21" i="38"/>
  <c r="AO36" i="38"/>
  <c r="AP18" i="38"/>
  <c r="AP20" i="38"/>
  <c r="AM61" i="12"/>
  <c r="X44" i="30"/>
  <c r="X46" i="30" s="1"/>
  <c r="X45" i="12"/>
  <c r="X46" i="12" s="1"/>
  <c r="Y46" i="38"/>
  <c r="Y44" i="38"/>
  <c r="Y41" i="30"/>
  <c r="Z32" i="22"/>
  <c r="Y18" i="34"/>
  <c r="Z18" i="40"/>
  <c r="Z38" i="38"/>
  <c r="Z41" i="38" s="1"/>
  <c r="Z43" i="38" s="1"/>
  <c r="Y34" i="22"/>
  <c r="AB40" i="39"/>
  <c r="L18" i="36"/>
  <c r="L20" i="36" s="1"/>
  <c r="L24" i="36" s="1"/>
  <c r="AB27" i="34"/>
  <c r="AC24" i="34"/>
  <c r="AC27" i="34" s="1"/>
  <c r="AM12" i="43"/>
  <c r="AM12" i="36"/>
  <c r="AL65" i="12"/>
  <c r="AL17" i="34"/>
  <c r="AM17" i="40"/>
  <c r="V11" i="43"/>
  <c r="V11" i="36"/>
  <c r="AK13" i="43"/>
  <c r="AK13" i="36"/>
  <c r="AN20" i="30"/>
  <c r="AN58" i="12"/>
  <c r="AN18" i="30"/>
  <c r="AN59" i="12"/>
  <c r="AE70" i="28"/>
  <c r="AQ9" i="28"/>
  <c r="AQ70" i="28" s="1"/>
  <c r="AQ73" i="28" s="1"/>
  <c r="Y16" i="40"/>
  <c r="W46" i="12"/>
  <c r="AO16" i="30"/>
  <c r="AP21" i="42"/>
  <c r="W31" i="40"/>
  <c r="W33" i="40" s="1"/>
  <c r="V14" i="34"/>
  <c r="M17" i="40"/>
  <c r="M21" i="40" s="1"/>
  <c r="M36" i="40" s="1"/>
  <c r="M40" i="40" s="1"/>
  <c r="N38" i="40" s="1"/>
  <c r="N65" i="12"/>
  <c r="N31" i="39" s="1"/>
  <c r="N31" i="22"/>
  <c r="M17" i="34"/>
  <c r="M32" i="42"/>
  <c r="M30" i="42" s="1"/>
  <c r="M17" i="35"/>
  <c r="M21" i="35" s="1"/>
  <c r="M36" i="35" s="1"/>
  <c r="M40" i="35" s="1"/>
  <c r="N38" i="35" s="1"/>
  <c r="M32" i="29"/>
  <c r="M30" i="29" s="1"/>
  <c r="M31" i="27"/>
  <c r="M34" i="27" s="1"/>
  <c r="M45" i="27" s="1"/>
  <c r="M30" i="31"/>
  <c r="M32" i="31" s="1"/>
  <c r="M43" i="31" s="1"/>
  <c r="M34" i="22"/>
  <c r="M45" i="22" s="1"/>
  <c r="M50" i="27" s="1"/>
  <c r="M51" i="27" s="1"/>
  <c r="N34" i="39" l="1"/>
  <c r="N45" i="39" s="1"/>
  <c r="Q31" i="39"/>
  <c r="AN39" i="30"/>
  <c r="AN21" i="30"/>
  <c r="M38" i="34"/>
  <c r="L44" i="34"/>
  <c r="W14" i="40"/>
  <c r="AD14" i="40" s="1"/>
  <c r="U40" i="31"/>
  <c r="U41" i="31" s="1"/>
  <c r="V42" i="22"/>
  <c r="U42" i="27"/>
  <c r="U43" i="27" s="1"/>
  <c r="U43" i="22"/>
  <c r="AA21" i="22"/>
  <c r="Z22" i="22"/>
  <c r="W11" i="43"/>
  <c r="W11" i="36"/>
  <c r="AN13" i="22"/>
  <c r="AN13" i="39"/>
  <c r="Z14" i="22"/>
  <c r="Z16" i="34"/>
  <c r="AA16" i="40"/>
  <c r="N17" i="40"/>
  <c r="Q31" i="22"/>
  <c r="N17" i="34"/>
  <c r="N32" i="42"/>
  <c r="N30" i="42" s="1"/>
  <c r="N32" i="29"/>
  <c r="N30" i="29" s="1"/>
  <c r="N30" i="31"/>
  <c r="N32" i="31" s="1"/>
  <c r="N43" i="31" s="1"/>
  <c r="N17" i="35"/>
  <c r="N34" i="22"/>
  <c r="N45" i="22" s="1"/>
  <c r="N50" i="27" s="1"/>
  <c r="N31" i="27"/>
  <c r="N34" i="27" s="1"/>
  <c r="N45" i="27" s="1"/>
  <c r="AP16" i="30"/>
  <c r="AQ13" i="30"/>
  <c r="Y16" i="34"/>
  <c r="X50" i="30"/>
  <c r="X38" i="12" s="1"/>
  <c r="X9" i="34"/>
  <c r="Y9" i="40"/>
  <c r="X47" i="30"/>
  <c r="AP21" i="38"/>
  <c r="AP36" i="38"/>
  <c r="AP41" i="42"/>
  <c r="AP42" i="42" s="1"/>
  <c r="AP45" i="42" s="1"/>
  <c r="AP22" i="42"/>
  <c r="AE73" i="28"/>
  <c r="AF9" i="28"/>
  <c r="AF70" i="28" s="1"/>
  <c r="AL13" i="43"/>
  <c r="AL13" i="36"/>
  <c r="Y15" i="43"/>
  <c r="Y15" i="36"/>
  <c r="AG18" i="22"/>
  <c r="AF20" i="22"/>
  <c r="X64" i="12"/>
  <c r="X67" i="12" s="1"/>
  <c r="Y41" i="22"/>
  <c r="AP21" i="29"/>
  <c r="AN60" i="12"/>
  <c r="Z41" i="30"/>
  <c r="AA32" i="22"/>
  <c r="Z18" i="34"/>
  <c r="AA18" i="40"/>
  <c r="AA38" i="38"/>
  <c r="AA41" i="38" s="1"/>
  <c r="AA43" i="38" s="1"/>
  <c r="Z34" i="22"/>
  <c r="AN14" i="40"/>
  <c r="V9" i="28"/>
  <c r="V70" i="28" s="1"/>
  <c r="U73" i="28"/>
  <c r="AN31" i="29"/>
  <c r="AN32" i="29" s="1"/>
  <c r="AF24" i="34"/>
  <c r="AG24" i="40"/>
  <c r="AM65" i="12"/>
  <c r="AM17" i="34"/>
  <c r="AN17" i="40"/>
  <c r="V42" i="39"/>
  <c r="U43" i="39"/>
  <c r="AC14" i="34"/>
  <c r="Z40" i="22"/>
  <c r="AN66" i="12"/>
  <c r="AN15" i="34"/>
  <c r="AO15" i="40"/>
  <c r="AQ16" i="38"/>
  <c r="AR13" i="38"/>
  <c r="AO45" i="29"/>
  <c r="AO33" i="22"/>
  <c r="AO33" i="39"/>
  <c r="N67" i="12"/>
  <c r="N69" i="12" s="1"/>
  <c r="N72" i="12" s="1"/>
  <c r="O65" i="12"/>
  <c r="O67" i="12" s="1"/>
  <c r="O69" i="12" s="1"/>
  <c r="O72" i="12" s="1"/>
  <c r="AE40" i="39"/>
  <c r="AO13" i="40"/>
  <c r="M13" i="43"/>
  <c r="M13" i="36"/>
  <c r="M21" i="34"/>
  <c r="M36" i="34" s="1"/>
  <c r="AO58" i="12"/>
  <c r="AO18" i="30"/>
  <c r="AN13" i="34"/>
  <c r="Z46" i="38"/>
  <c r="Z44" i="38"/>
  <c r="Y44" i="30"/>
  <c r="Y46" i="30" s="1"/>
  <c r="Y45" i="12"/>
  <c r="Y46" i="12" s="1"/>
  <c r="AM14" i="34"/>
  <c r="AD31" i="40"/>
  <c r="AN25" i="29"/>
  <c r="AN26" i="29" s="1"/>
  <c r="AO11" i="22"/>
  <c r="AP13" i="40" s="1"/>
  <c r="AO11" i="39"/>
  <c r="X20" i="39"/>
  <c r="X22" i="39" s="1"/>
  <c r="Y18" i="39"/>
  <c r="M10" i="27"/>
  <c r="M23" i="36"/>
  <c r="M15" i="22"/>
  <c r="M25" i="22" s="1"/>
  <c r="M47" i="22" s="1"/>
  <c r="M43" i="35"/>
  <c r="M44" i="35" s="1"/>
  <c r="M43" i="34"/>
  <c r="M10" i="31"/>
  <c r="M14" i="31" s="1"/>
  <c r="M24" i="31" s="1"/>
  <c r="M45" i="31" s="1"/>
  <c r="AB37" i="22"/>
  <c r="AA30" i="34"/>
  <c r="AA33" i="34" s="1"/>
  <c r="AB30" i="40"/>
  <c r="AB33" i="40" s="1"/>
  <c r="AC61" i="12"/>
  <c r="AN19" i="34"/>
  <c r="AO19" i="40"/>
  <c r="Z16" i="40"/>
  <c r="N10" i="22" l="1"/>
  <c r="N10" i="39"/>
  <c r="N15" i="39" s="1"/>
  <c r="N25" i="39" s="1"/>
  <c r="N75" i="12"/>
  <c r="Z18" i="39"/>
  <c r="Y20" i="39"/>
  <c r="Y22" i="39" s="1"/>
  <c r="AO60" i="12"/>
  <c r="AP31" i="42"/>
  <c r="AP32" i="42" s="1"/>
  <c r="M18" i="43"/>
  <c r="AF40" i="39"/>
  <c r="AQ18" i="38"/>
  <c r="AR18" i="38" s="1"/>
  <c r="AN31" i="22"/>
  <c r="AN31" i="39"/>
  <c r="Z15" i="43"/>
  <c r="Z15" i="36"/>
  <c r="X69" i="12"/>
  <c r="O17" i="40"/>
  <c r="O21" i="40" s="1"/>
  <c r="O36" i="40" s="1"/>
  <c r="O40" i="40" s="1"/>
  <c r="W38" i="40" s="1"/>
  <c r="N21" i="40"/>
  <c r="N36" i="40" s="1"/>
  <c r="N40" i="40" s="1"/>
  <c r="Q38" i="40" s="1"/>
  <c r="AD38" i="40" s="1"/>
  <c r="Q34" i="39"/>
  <c r="Q45" i="39" s="1"/>
  <c r="R31" i="39"/>
  <c r="AE37" i="22"/>
  <c r="AB30" i="34"/>
  <c r="AC30" i="40"/>
  <c r="AN12" i="22"/>
  <c r="AN12" i="39"/>
  <c r="Y50" i="30"/>
  <c r="Y38" i="12" s="1"/>
  <c r="Y9" i="34"/>
  <c r="Z9" i="40"/>
  <c r="Z21" i="40" s="1"/>
  <c r="Z36" i="40" s="1"/>
  <c r="Y47" i="30"/>
  <c r="AO19" i="34"/>
  <c r="AP19" i="40"/>
  <c r="AM13" i="43"/>
  <c r="AM13" i="36"/>
  <c r="AA41" i="30"/>
  <c r="AB32" i="22"/>
  <c r="AA18" i="34"/>
  <c r="AB18" i="40"/>
  <c r="AB38" i="38"/>
  <c r="AB41" i="38" s="1"/>
  <c r="AB43" i="38" s="1"/>
  <c r="AA34" i="22"/>
  <c r="AO25" i="42"/>
  <c r="AO26" i="42" s="1"/>
  <c r="AO31" i="29"/>
  <c r="AO32" i="29" s="1"/>
  <c r="AO13" i="34"/>
  <c r="N51" i="27"/>
  <c r="AO15" i="34"/>
  <c r="V40" i="31"/>
  <c r="V41" i="31" s="1"/>
  <c r="V42" i="27"/>
  <c r="V43" i="27" s="1"/>
  <c r="W42" i="22"/>
  <c r="V43" i="22"/>
  <c r="AN12" i="43"/>
  <c r="AN12" i="36"/>
  <c r="Q9" i="12"/>
  <c r="O75" i="12"/>
  <c r="AO13" i="22"/>
  <c r="AP15" i="40" s="1"/>
  <c r="AO13" i="39"/>
  <c r="W42" i="39"/>
  <c r="V43" i="39"/>
  <c r="AG27" i="40"/>
  <c r="W9" i="28"/>
  <c r="W70" i="28" s="1"/>
  <c r="V73" i="28"/>
  <c r="AA44" i="38"/>
  <c r="AA46" i="38"/>
  <c r="Z44" i="30"/>
  <c r="Z46" i="30" s="1"/>
  <c r="Z45" i="12"/>
  <c r="Z46" i="12" s="1"/>
  <c r="AO31" i="42"/>
  <c r="AO32" i="42" s="1"/>
  <c r="AP22" i="29"/>
  <c r="AP41" i="29"/>
  <c r="AP42" i="29" s="1"/>
  <c r="AO59" i="12"/>
  <c r="AH18" i="22"/>
  <c r="AG20" i="22"/>
  <c r="Y21" i="40"/>
  <c r="Y36" i="40" s="1"/>
  <c r="AQ10" i="30"/>
  <c r="AQ16" i="30"/>
  <c r="O17" i="35"/>
  <c r="O21" i="35" s="1"/>
  <c r="O36" i="35" s="1"/>
  <c r="O40" i="35" s="1"/>
  <c r="N21" i="35"/>
  <c r="N36" i="35" s="1"/>
  <c r="N40" i="35" s="1"/>
  <c r="Q38" i="35" s="1"/>
  <c r="AC38" i="35" s="1"/>
  <c r="N13" i="43"/>
  <c r="N13" i="36"/>
  <c r="O17" i="34"/>
  <c r="O21" i="34" s="1"/>
  <c r="O36" i="34" s="1"/>
  <c r="O40" i="34" s="1"/>
  <c r="N21" i="34"/>
  <c r="N36" i="34" s="1"/>
  <c r="AB21" i="22"/>
  <c r="AA22" i="22"/>
  <c r="M9" i="43"/>
  <c r="M9" i="36"/>
  <c r="M16" i="43"/>
  <c r="M40" i="34"/>
  <c r="N38" i="34" s="1"/>
  <c r="M16" i="36"/>
  <c r="M18" i="36" s="1"/>
  <c r="M47" i="42"/>
  <c r="M47" i="29"/>
  <c r="M15" i="27"/>
  <c r="M25" i="27" s="1"/>
  <c r="M47" i="27" s="1"/>
  <c r="AO20" i="30"/>
  <c r="AR16" i="38"/>
  <c r="AR20" i="38" s="1"/>
  <c r="AR10" i="38"/>
  <c r="AA40" i="22"/>
  <c r="AF27" i="34"/>
  <c r="AO25" i="29"/>
  <c r="AO26" i="29" s="1"/>
  <c r="Z41" i="22"/>
  <c r="Y64" i="12"/>
  <c r="Y67" i="12" s="1"/>
  <c r="AF73" i="28"/>
  <c r="AG9" i="28"/>
  <c r="AG70" i="28" s="1"/>
  <c r="X11" i="43"/>
  <c r="X21" i="34"/>
  <c r="X36" i="34" s="1"/>
  <c r="X11" i="36"/>
  <c r="AP18" i="30"/>
  <c r="AP25" i="29" s="1"/>
  <c r="AP26" i="29" s="1"/>
  <c r="AP20" i="30"/>
  <c r="AP58" i="12"/>
  <c r="R31" i="22"/>
  <c r="Q32" i="42"/>
  <c r="Q30" i="42" s="1"/>
  <c r="Q17" i="34"/>
  <c r="Q17" i="40"/>
  <c r="Q31" i="27"/>
  <c r="Q34" i="27" s="1"/>
  <c r="Q45" i="27" s="1"/>
  <c r="Q17" i="35"/>
  <c r="Q34" i="22"/>
  <c r="Q45" i="22" s="1"/>
  <c r="Q50" i="27" s="1"/>
  <c r="Q51" i="27" s="1"/>
  <c r="Q32" i="29"/>
  <c r="Q30" i="29" s="1"/>
  <c r="Q30" i="31"/>
  <c r="Q32" i="31" s="1"/>
  <c r="Q43" i="31" s="1"/>
  <c r="AA14" i="22"/>
  <c r="AA16" i="34"/>
  <c r="AB16" i="40"/>
  <c r="AP12" i="22" l="1"/>
  <c r="AP12" i="39"/>
  <c r="N9" i="43"/>
  <c r="N9" i="36"/>
  <c r="AO31" i="22"/>
  <c r="AO31" i="39"/>
  <c r="S31" i="22"/>
  <c r="R17" i="34"/>
  <c r="R32" i="42"/>
  <c r="R30" i="42" s="1"/>
  <c r="R17" i="40"/>
  <c r="R21" i="40" s="1"/>
  <c r="R36" i="40" s="1"/>
  <c r="R17" i="35"/>
  <c r="R21" i="35" s="1"/>
  <c r="R36" i="35" s="1"/>
  <c r="R40" i="35" s="1"/>
  <c r="S38" i="35" s="1"/>
  <c r="R30" i="31"/>
  <c r="R32" i="31" s="1"/>
  <c r="R43" i="31" s="1"/>
  <c r="R32" i="29"/>
  <c r="R30" i="29" s="1"/>
  <c r="R31" i="27"/>
  <c r="R34" i="27" s="1"/>
  <c r="R45" i="27" s="1"/>
  <c r="R34" i="22"/>
  <c r="R45" i="22" s="1"/>
  <c r="R50" i="27" s="1"/>
  <c r="R51" i="27" s="1"/>
  <c r="AH9" i="28"/>
  <c r="AH70" i="28" s="1"/>
  <c r="AG73" i="28"/>
  <c r="AO12" i="22"/>
  <c r="AP14" i="40" s="1"/>
  <c r="AO12" i="39"/>
  <c r="AB40" i="22"/>
  <c r="AO39" i="30"/>
  <c r="AO21" i="30"/>
  <c r="M44" i="34"/>
  <c r="AP33" i="22"/>
  <c r="AP45" i="29"/>
  <c r="AP33" i="39"/>
  <c r="Z50" i="30"/>
  <c r="Z38" i="12" s="1"/>
  <c r="Z9" i="34"/>
  <c r="AA9" i="40"/>
  <c r="AA21" i="40" s="1"/>
  <c r="AA36" i="40" s="1"/>
  <c r="Z47" i="30"/>
  <c r="X9" i="28"/>
  <c r="X70" i="28" s="1"/>
  <c r="W73" i="28"/>
  <c r="X42" i="39"/>
  <c r="W43" i="39"/>
  <c r="W45" i="39" s="1"/>
  <c r="AC9" i="12"/>
  <c r="Q72" i="12"/>
  <c r="AB41" i="30"/>
  <c r="AE32" i="22"/>
  <c r="AB18" i="34"/>
  <c r="AC18" i="40"/>
  <c r="AD18" i="40" s="1"/>
  <c r="AC38" i="38"/>
  <c r="AB34" i="22"/>
  <c r="AF37" i="22"/>
  <c r="AE30" i="34"/>
  <c r="AF30" i="40"/>
  <c r="S31" i="39"/>
  <c r="R34" i="39"/>
  <c r="R45" i="39" s="1"/>
  <c r="AN65" i="12"/>
  <c r="AN17" i="34"/>
  <c r="AO17" i="40"/>
  <c r="AG40" i="39"/>
  <c r="AP31" i="29"/>
  <c r="AP32" i="29" s="1"/>
  <c r="AA18" i="39"/>
  <c r="Z20" i="39"/>
  <c r="Z22" i="39" s="1"/>
  <c r="Q21" i="40"/>
  <c r="Q36" i="40" s="1"/>
  <c r="Q40" i="40" s="1"/>
  <c r="R38" i="40" s="1"/>
  <c r="X42" i="22"/>
  <c r="W43" i="22"/>
  <c r="W45" i="22" s="1"/>
  <c r="AO12" i="43"/>
  <c r="AO12" i="36"/>
  <c r="AB46" i="38"/>
  <c r="AB44" i="38"/>
  <c r="AA44" i="30"/>
  <c r="AA46" i="30" s="1"/>
  <c r="AA45" i="12"/>
  <c r="AA46" i="12" s="1"/>
  <c r="AO61" i="12"/>
  <c r="AO14" i="34"/>
  <c r="AN14" i="34"/>
  <c r="AO14" i="40"/>
  <c r="AN61" i="12"/>
  <c r="AQ20" i="38"/>
  <c r="X16" i="43"/>
  <c r="X18" i="43" s="1"/>
  <c r="X16" i="36"/>
  <c r="X18" i="36" s="1"/>
  <c r="AE21" i="22"/>
  <c r="AB22" i="22"/>
  <c r="AP11" i="22"/>
  <c r="AP11" i="39"/>
  <c r="Q13" i="43"/>
  <c r="Q13" i="36"/>
  <c r="Q21" i="34"/>
  <c r="Q36" i="34" s="1"/>
  <c r="AR36" i="38"/>
  <c r="AR21" i="38"/>
  <c r="AI18" i="22"/>
  <c r="AH20" i="22"/>
  <c r="AH24" i="34" s="1"/>
  <c r="AO66" i="12"/>
  <c r="AC33" i="40"/>
  <c r="AD30" i="40"/>
  <c r="AD33" i="40" s="1"/>
  <c r="AQ58" i="12"/>
  <c r="O13" i="36"/>
  <c r="AP39" i="30"/>
  <c r="AP21" i="30"/>
  <c r="M20" i="36"/>
  <c r="M24" i="36" s="1"/>
  <c r="O13" i="43"/>
  <c r="O18" i="43" s="1"/>
  <c r="O20" i="43" s="1"/>
  <c r="N18" i="43"/>
  <c r="Y11" i="43"/>
  <c r="Y21" i="34"/>
  <c r="Y36" i="34" s="1"/>
  <c r="Y11" i="36"/>
  <c r="AB14" i="22"/>
  <c r="AC16" i="40"/>
  <c r="AD16" i="40" s="1"/>
  <c r="Q21" i="35"/>
  <c r="Q36" i="35" s="1"/>
  <c r="Q40" i="35" s="1"/>
  <c r="R38" i="35" s="1"/>
  <c r="AP60" i="12"/>
  <c r="AQ60" i="12" s="1"/>
  <c r="AQ18" i="30"/>
  <c r="AQ20" i="30" s="1"/>
  <c r="Z64" i="12"/>
  <c r="Z67" i="12" s="1"/>
  <c r="AA41" i="22"/>
  <c r="M20" i="43"/>
  <c r="N40" i="34"/>
  <c r="Q38" i="34" s="1"/>
  <c r="N16" i="43"/>
  <c r="O16" i="43" s="1"/>
  <c r="N16" i="36"/>
  <c r="O16" i="36" s="1"/>
  <c r="AA15" i="43"/>
  <c r="AA15" i="36"/>
  <c r="Y69" i="12"/>
  <c r="AB33" i="34"/>
  <c r="AC30" i="34"/>
  <c r="AC33" i="34" s="1"/>
  <c r="AP25" i="42"/>
  <c r="AP26" i="42" s="1"/>
  <c r="N10" i="27"/>
  <c r="N23" i="36"/>
  <c r="N43" i="35"/>
  <c r="N10" i="31"/>
  <c r="N14" i="31" s="1"/>
  <c r="N24" i="31" s="1"/>
  <c r="N45" i="31" s="1"/>
  <c r="N43" i="34"/>
  <c r="N15" i="22"/>
  <c r="N25" i="22" s="1"/>
  <c r="N47" i="22" s="1"/>
  <c r="AQ21" i="30" l="1"/>
  <c r="AQ39" i="30"/>
  <c r="AH27" i="34"/>
  <c r="N44" i="35"/>
  <c r="O43" i="35"/>
  <c r="O44" i="35" s="1"/>
  <c r="AA50" i="30"/>
  <c r="AA38" i="12" s="1"/>
  <c r="AA9" i="34"/>
  <c r="AB9" i="40"/>
  <c r="AB21" i="40" s="1"/>
  <c r="AB36" i="40" s="1"/>
  <c r="AA47" i="30"/>
  <c r="AI20" i="22"/>
  <c r="AJ24" i="40" s="1"/>
  <c r="AJ27" i="40" s="1"/>
  <c r="AJ18" i="22"/>
  <c r="AP59" i="12"/>
  <c r="AP13" i="34"/>
  <c r="AQ13" i="40"/>
  <c r="AR13" i="40" s="1"/>
  <c r="Y9" i="28"/>
  <c r="Y70" i="28" s="1"/>
  <c r="X73" i="28"/>
  <c r="AB41" i="22"/>
  <c r="AA64" i="12"/>
  <c r="AA67" i="12" s="1"/>
  <c r="AE14" i="22"/>
  <c r="AE16" i="34"/>
  <c r="AF16" i="40"/>
  <c r="O18" i="36"/>
  <c r="O20" i="36" s="1"/>
  <c r="Q18" i="43"/>
  <c r="AF21" i="22"/>
  <c r="AE22" i="22"/>
  <c r="AQ21" i="38"/>
  <c r="AQ36" i="38"/>
  <c r="AH40" i="39"/>
  <c r="AE33" i="34"/>
  <c r="Y42" i="39"/>
  <c r="X43" i="39"/>
  <c r="X45" i="39" s="1"/>
  <c r="AP13" i="22"/>
  <c r="AP13" i="39"/>
  <c r="R13" i="43"/>
  <c r="R13" i="36"/>
  <c r="R21" i="34"/>
  <c r="R36" i="34" s="1"/>
  <c r="Q9" i="43"/>
  <c r="Q9" i="36"/>
  <c r="AC38" i="34"/>
  <c r="Q40" i="34"/>
  <c r="R38" i="34" s="1"/>
  <c r="Q16" i="43"/>
  <c r="Q16" i="36"/>
  <c r="Q18" i="36" s="1"/>
  <c r="AA20" i="39"/>
  <c r="AA22" i="39" s="1"/>
  <c r="AB18" i="39"/>
  <c r="AG37" i="22"/>
  <c r="AF30" i="34"/>
  <c r="AF33" i="34" s="1"/>
  <c r="AG30" i="40"/>
  <c r="AG33" i="40" s="1"/>
  <c r="AB15" i="43"/>
  <c r="AC15" i="43" s="1"/>
  <c r="AB15" i="36"/>
  <c r="AC15" i="36" s="1"/>
  <c r="AC18" i="34"/>
  <c r="R9" i="12"/>
  <c r="R72" i="12" s="1"/>
  <c r="Q10" i="22"/>
  <c r="Q10" i="39"/>
  <c r="Q15" i="39" s="1"/>
  <c r="Q25" i="39" s="1"/>
  <c r="Q75" i="12"/>
  <c r="Z21" i="34"/>
  <c r="Z36" i="34" s="1"/>
  <c r="Z11" i="43"/>
  <c r="Z11" i="36"/>
  <c r="AQ19" i="40"/>
  <c r="AR19" i="40" s="1"/>
  <c r="AP19" i="34"/>
  <c r="AQ19" i="34" s="1"/>
  <c r="AP61" i="12"/>
  <c r="AQ61" i="12" s="1"/>
  <c r="AQ14" i="40"/>
  <c r="AR14" i="40" s="1"/>
  <c r="AP14" i="34"/>
  <c r="AQ14" i="34" s="1"/>
  <c r="T65" i="12"/>
  <c r="T31" i="22" s="1"/>
  <c r="S17" i="34"/>
  <c r="S17" i="40"/>
  <c r="S32" i="42"/>
  <c r="S30" i="42" s="1"/>
  <c r="S17" i="35"/>
  <c r="S32" i="29"/>
  <c r="S30" i="29" s="1"/>
  <c r="S34" i="22"/>
  <c r="S45" i="22" s="1"/>
  <c r="S50" i="27" s="1"/>
  <c r="S51" i="27" s="1"/>
  <c r="S30" i="31"/>
  <c r="S32" i="31" s="1"/>
  <c r="S43" i="31" s="1"/>
  <c r="S31" i="27"/>
  <c r="S34" i="27" s="1"/>
  <c r="S45" i="27" s="1"/>
  <c r="N20" i="43"/>
  <c r="AI24" i="34"/>
  <c r="AI27" i="34" s="1"/>
  <c r="O23" i="36"/>
  <c r="O24" i="36" s="1"/>
  <c r="Z69" i="12"/>
  <c r="R40" i="40"/>
  <c r="S38" i="40" s="1"/>
  <c r="AP31" i="22"/>
  <c r="AP31" i="39"/>
  <c r="T31" i="39"/>
  <c r="S34" i="39"/>
  <c r="S45" i="39" s="1"/>
  <c r="AE41" i="30"/>
  <c r="AF32" i="22"/>
  <c r="AE18" i="34"/>
  <c r="AF18" i="40"/>
  <c r="AF38" i="38"/>
  <c r="AE34" i="22"/>
  <c r="N44" i="34"/>
  <c r="O43" i="34"/>
  <c r="O44" i="34" s="1"/>
  <c r="N47" i="42"/>
  <c r="N15" i="27"/>
  <c r="N25" i="27" s="1"/>
  <c r="N47" i="27" s="1"/>
  <c r="N47" i="29"/>
  <c r="AB16" i="34"/>
  <c r="AC16" i="34" s="1"/>
  <c r="Y16" i="43"/>
  <c r="Y18" i="43" s="1"/>
  <c r="Y16" i="36"/>
  <c r="Y18" i="36" s="1"/>
  <c r="N18" i="36"/>
  <c r="N20" i="36" s="1"/>
  <c r="N24" i="36" s="1"/>
  <c r="Y42" i="22"/>
  <c r="X43" i="22"/>
  <c r="X45" i="22" s="1"/>
  <c r="AN13" i="43"/>
  <c r="AN13" i="36"/>
  <c r="AF33" i="40"/>
  <c r="AC41" i="38"/>
  <c r="AC43" i="38" s="1"/>
  <c r="AD38" i="38"/>
  <c r="AD41" i="38" s="1"/>
  <c r="AD43" i="38" s="1"/>
  <c r="AB44" i="30"/>
  <c r="AB46" i="30" s="1"/>
  <c r="AB45" i="12"/>
  <c r="AC41" i="30"/>
  <c r="AC44" i="30" s="1"/>
  <c r="AC46" i="30" s="1"/>
  <c r="AE40" i="22"/>
  <c r="AI9" i="28"/>
  <c r="AI70" i="28" s="1"/>
  <c r="AH73" i="28"/>
  <c r="AO65" i="12"/>
  <c r="AO17" i="34"/>
  <c r="AP17" i="40"/>
  <c r="AI24" i="40"/>
  <c r="T17" i="34" l="1"/>
  <c r="T32" i="42"/>
  <c r="T30" i="42" s="1"/>
  <c r="T17" i="40"/>
  <c r="T17" i="35"/>
  <c r="T21" i="35" s="1"/>
  <c r="T36" i="35" s="1"/>
  <c r="T31" i="27"/>
  <c r="T34" i="27" s="1"/>
  <c r="T45" i="27" s="1"/>
  <c r="T34" i="22"/>
  <c r="T45" i="22" s="1"/>
  <c r="T50" i="27" s="1"/>
  <c r="T51" i="27" s="1"/>
  <c r="T32" i="29"/>
  <c r="T30" i="29" s="1"/>
  <c r="T30" i="31"/>
  <c r="T32" i="31" s="1"/>
  <c r="T43" i="31" s="1"/>
  <c r="U65" i="12"/>
  <c r="U67" i="12" s="1"/>
  <c r="U69" i="12" s="1"/>
  <c r="AB46" i="12"/>
  <c r="AC45" i="12"/>
  <c r="AC46" i="12" s="1"/>
  <c r="AE15" i="43"/>
  <c r="AE15" i="36"/>
  <c r="AC50" i="30"/>
  <c r="AC47" i="30"/>
  <c r="AC48" i="30"/>
  <c r="AC46" i="38"/>
  <c r="AC44" i="38"/>
  <c r="Q10" i="27"/>
  <c r="Q23" i="36"/>
  <c r="Q43" i="35"/>
  <c r="Q44" i="35" s="1"/>
  <c r="Q15" i="22"/>
  <c r="Q25" i="22" s="1"/>
  <c r="Q47" i="22" s="1"/>
  <c r="Q43" i="34"/>
  <c r="Q44" i="34" s="1"/>
  <c r="Q10" i="31"/>
  <c r="Q14" i="31" s="1"/>
  <c r="Q24" i="31" s="1"/>
  <c r="Q45" i="31" s="1"/>
  <c r="AE18" i="39"/>
  <c r="AB20" i="39"/>
  <c r="AB22" i="39" s="1"/>
  <c r="R9" i="43"/>
  <c r="R9" i="36"/>
  <c r="R20" i="36" s="1"/>
  <c r="Z42" i="39"/>
  <c r="Y43" i="39"/>
  <c r="Y45" i="39" s="1"/>
  <c r="AG21" i="22"/>
  <c r="AF22" i="22"/>
  <c r="AF14" i="22"/>
  <c r="AF16" i="34" s="1"/>
  <c r="Y73" i="28"/>
  <c r="Z9" i="28"/>
  <c r="Z70" i="28" s="1"/>
  <c r="AQ59" i="12"/>
  <c r="T34" i="39"/>
  <c r="T45" i="39" s="1"/>
  <c r="S21" i="40"/>
  <c r="S36" i="40" s="1"/>
  <c r="S40" i="40" s="1"/>
  <c r="T38" i="40" s="1"/>
  <c r="Z16" i="43"/>
  <c r="Z18" i="43" s="1"/>
  <c r="Z16" i="36"/>
  <c r="S9" i="12"/>
  <c r="S72" i="12" s="1"/>
  <c r="R10" i="22"/>
  <c r="R10" i="39"/>
  <c r="R15" i="39" s="1"/>
  <c r="R25" i="39" s="1"/>
  <c r="R75" i="12"/>
  <c r="R16" i="43"/>
  <c r="R40" i="34"/>
  <c r="S38" i="34" s="1"/>
  <c r="R16" i="36"/>
  <c r="AQ15" i="40"/>
  <c r="AR15" i="40" s="1"/>
  <c r="AP15" i="34"/>
  <c r="AQ15" i="34" s="1"/>
  <c r="AP66" i="12"/>
  <c r="AQ66" i="12" s="1"/>
  <c r="AK18" i="22"/>
  <c r="AJ20" i="22"/>
  <c r="AJ9" i="28"/>
  <c r="AJ70" i="28" s="1"/>
  <c r="AI73" i="28"/>
  <c r="AO13" i="43"/>
  <c r="AO13" i="36"/>
  <c r="AC9" i="36"/>
  <c r="Q20" i="36"/>
  <c r="R18" i="36"/>
  <c r="AB64" i="12"/>
  <c r="AE41" i="22"/>
  <c r="AA11" i="43"/>
  <c r="AA21" i="34"/>
  <c r="AA36" i="34" s="1"/>
  <c r="AA11" i="36"/>
  <c r="AB50" i="30"/>
  <c r="AB38" i="12" s="1"/>
  <c r="AB9" i="34"/>
  <c r="AC9" i="40"/>
  <c r="AB47" i="30"/>
  <c r="AF41" i="30"/>
  <c r="AG32" i="22"/>
  <c r="AF18" i="34"/>
  <c r="AG18" i="40"/>
  <c r="AG38" i="38"/>
  <c r="AG41" i="38" s="1"/>
  <c r="AG43" i="38" s="1"/>
  <c r="AF34" i="22"/>
  <c r="S13" i="43"/>
  <c r="S13" i="36"/>
  <c r="S21" i="34"/>
  <c r="S36" i="34" s="1"/>
  <c r="AI27" i="40"/>
  <c r="AF40" i="22"/>
  <c r="AD46" i="38"/>
  <c r="AD44" i="38"/>
  <c r="Z42" i="22"/>
  <c r="Y43" i="22"/>
  <c r="Y45" i="22" s="1"/>
  <c r="AF41" i="38"/>
  <c r="AF43" i="38" s="1"/>
  <c r="AE45" i="12"/>
  <c r="AE44" i="30"/>
  <c r="AE46" i="30" s="1"/>
  <c r="AP17" i="34"/>
  <c r="AP65" i="12"/>
  <c r="AQ65" i="12" s="1"/>
  <c r="AQ17" i="40"/>
  <c r="AR17" i="40" s="1"/>
  <c r="S21" i="35"/>
  <c r="S36" i="35" s="1"/>
  <c r="S40" i="35" s="1"/>
  <c r="T38" i="35" s="1"/>
  <c r="T67" i="12"/>
  <c r="T69" i="12" s="1"/>
  <c r="Z18" i="36"/>
  <c r="AH37" i="22"/>
  <c r="AG30" i="34"/>
  <c r="AG33" i="34" s="1"/>
  <c r="AH30" i="40"/>
  <c r="AC9" i="43"/>
  <c r="Q20" i="43"/>
  <c r="AI40" i="39"/>
  <c r="AP12" i="43"/>
  <c r="AQ12" i="43" s="1"/>
  <c r="AP12" i="36"/>
  <c r="AQ12" i="36" s="1"/>
  <c r="AQ13" i="34"/>
  <c r="AA69" i="12"/>
  <c r="AC21" i="40" l="1"/>
  <c r="AC36" i="40" s="1"/>
  <c r="AD9" i="40"/>
  <c r="AF41" i="22"/>
  <c r="AE64" i="12"/>
  <c r="S9" i="43"/>
  <c r="S9" i="36"/>
  <c r="AA42" i="39"/>
  <c r="Z43" i="39"/>
  <c r="Z45" i="39" s="1"/>
  <c r="AF18" i="39"/>
  <c r="AE20" i="39"/>
  <c r="AE22" i="39" s="1"/>
  <c r="AI37" i="22"/>
  <c r="AH30" i="34"/>
  <c r="AH33" i="34" s="1"/>
  <c r="AI30" i="40"/>
  <c r="AI33" i="40" s="1"/>
  <c r="S40" i="34"/>
  <c r="T38" i="34" s="1"/>
  <c r="S16" i="43"/>
  <c r="S16" i="36"/>
  <c r="AH32" i="22"/>
  <c r="AG41" i="30"/>
  <c r="AG18" i="34"/>
  <c r="AH18" i="40"/>
  <c r="AH38" i="38"/>
  <c r="AH41" i="38" s="1"/>
  <c r="AH43" i="38" s="1"/>
  <c r="AG34" i="22"/>
  <c r="AA16" i="43"/>
  <c r="AA16" i="36"/>
  <c r="AK20" i="22"/>
  <c r="AL24" i="40" s="1"/>
  <c r="AL18" i="22"/>
  <c r="Q24" i="36"/>
  <c r="T13" i="43"/>
  <c r="T13" i="36"/>
  <c r="T21" i="34"/>
  <c r="T36" i="34" s="1"/>
  <c r="R18" i="43"/>
  <c r="AH33" i="40"/>
  <c r="U31" i="39"/>
  <c r="T21" i="40"/>
  <c r="T36" i="40" s="1"/>
  <c r="T40" i="40" s="1"/>
  <c r="U38" i="40" s="1"/>
  <c r="AE50" i="30"/>
  <c r="AE38" i="12" s="1"/>
  <c r="AE9" i="34"/>
  <c r="AF9" i="40"/>
  <c r="AE47" i="30"/>
  <c r="AF15" i="43"/>
  <c r="AF15" i="36"/>
  <c r="AA18" i="36"/>
  <c r="R10" i="27"/>
  <c r="R23" i="36"/>
  <c r="R24" i="36" s="1"/>
  <c r="R43" i="35"/>
  <c r="R44" i="35" s="1"/>
  <c r="R43" i="34"/>
  <c r="R44" i="34" s="1"/>
  <c r="R10" i="31"/>
  <c r="R14" i="31" s="1"/>
  <c r="R24" i="31" s="1"/>
  <c r="R45" i="31" s="1"/>
  <c r="R15" i="22"/>
  <c r="R25" i="22" s="1"/>
  <c r="R47" i="22" s="1"/>
  <c r="Z73" i="28"/>
  <c r="AA9" i="28"/>
  <c r="AA70" i="28" s="1"/>
  <c r="AG14" i="22"/>
  <c r="AE46" i="12"/>
  <c r="AA42" i="22"/>
  <c r="Z43" i="22"/>
  <c r="Z45" i="22" s="1"/>
  <c r="AG40" i="22"/>
  <c r="AB11" i="43"/>
  <c r="AB21" i="34"/>
  <c r="AB36" i="34" s="1"/>
  <c r="AB11" i="36"/>
  <c r="AC9" i="34"/>
  <c r="AB67" i="12"/>
  <c r="AC64" i="12"/>
  <c r="S10" i="22"/>
  <c r="T9" i="12"/>
  <c r="T72" i="12" s="1"/>
  <c r="S10" i="39"/>
  <c r="S15" i="39" s="1"/>
  <c r="S25" i="39" s="1"/>
  <c r="S75" i="12"/>
  <c r="AJ40" i="39"/>
  <c r="AP13" i="43"/>
  <c r="AQ13" i="43" s="1"/>
  <c r="AP13" i="36"/>
  <c r="AQ13" i="36" s="1"/>
  <c r="AQ17" i="34"/>
  <c r="AF46" i="38"/>
  <c r="AF44" i="38"/>
  <c r="S18" i="36"/>
  <c r="AG46" i="38"/>
  <c r="AG44" i="38"/>
  <c r="AF44" i="30"/>
  <c r="AF46" i="30" s="1"/>
  <c r="AF45" i="12"/>
  <c r="AF46" i="12" s="1"/>
  <c r="AB69" i="12"/>
  <c r="AC38" i="12"/>
  <c r="AA18" i="43"/>
  <c r="AK9" i="28"/>
  <c r="AK70" i="28" s="1"/>
  <c r="AJ73" i="28"/>
  <c r="AG16" i="40"/>
  <c r="AH21" i="22"/>
  <c r="AG22" i="22"/>
  <c r="R20" i="43"/>
  <c r="Q47" i="42"/>
  <c r="Q47" i="29"/>
  <c r="Q15" i="27"/>
  <c r="Q25" i="27" s="1"/>
  <c r="Q47" i="27" s="1"/>
  <c r="T40" i="35"/>
  <c r="U38" i="35" s="1"/>
  <c r="U31" i="22"/>
  <c r="AL27" i="40" l="1"/>
  <c r="AF50" i="30"/>
  <c r="AF38" i="12" s="1"/>
  <c r="AF9" i="34"/>
  <c r="AG9" i="40"/>
  <c r="AG21" i="40" s="1"/>
  <c r="AG36" i="40" s="1"/>
  <c r="AF47" i="30"/>
  <c r="S10" i="27"/>
  <c r="S23" i="36"/>
  <c r="S43" i="35"/>
  <c r="S44" i="35" s="1"/>
  <c r="S43" i="34"/>
  <c r="S44" i="34" s="1"/>
  <c r="S10" i="31"/>
  <c r="S14" i="31" s="1"/>
  <c r="S24" i="31" s="1"/>
  <c r="S45" i="31" s="1"/>
  <c r="S15" i="22"/>
  <c r="S25" i="22" s="1"/>
  <c r="S47" i="22" s="1"/>
  <c r="AH14" i="22"/>
  <c r="AH16" i="34" s="1"/>
  <c r="AG15" i="43"/>
  <c r="AG15" i="36"/>
  <c r="AH40" i="22"/>
  <c r="AF64" i="12"/>
  <c r="AF67" i="12" s="1"/>
  <c r="AG41" i="22"/>
  <c r="AI21" i="22"/>
  <c r="AH22" i="22"/>
  <c r="AC11" i="36"/>
  <c r="AJ37" i="22"/>
  <c r="AI30" i="34"/>
  <c r="AJ30" i="40"/>
  <c r="AE67" i="12"/>
  <c r="V65" i="12"/>
  <c r="U32" i="42"/>
  <c r="U30" i="42" s="1"/>
  <c r="U17" i="34"/>
  <c r="U17" i="40"/>
  <c r="U34" i="22"/>
  <c r="U45" i="22" s="1"/>
  <c r="U50" i="27" s="1"/>
  <c r="U31" i="27"/>
  <c r="U34" i="27" s="1"/>
  <c r="U45" i="27" s="1"/>
  <c r="U30" i="31"/>
  <c r="U32" i="31" s="1"/>
  <c r="U43" i="31" s="1"/>
  <c r="U17" i="35"/>
  <c r="U32" i="29"/>
  <c r="U30" i="29" s="1"/>
  <c r="AB16" i="43"/>
  <c r="AB16" i="36"/>
  <c r="AB18" i="36" s="1"/>
  <c r="AG45" i="12"/>
  <c r="AG44" i="30"/>
  <c r="AG46" i="30" s="1"/>
  <c r="AB18" i="43"/>
  <c r="AC11" i="43"/>
  <c r="AH16" i="40"/>
  <c r="AE21" i="34"/>
  <c r="AE36" i="34" s="1"/>
  <c r="AE11" i="43"/>
  <c r="AE11" i="36"/>
  <c r="S18" i="43"/>
  <c r="S20" i="43" s="1"/>
  <c r="AH46" i="38"/>
  <c r="AH44" i="38"/>
  <c r="AH41" i="30"/>
  <c r="AI32" i="22"/>
  <c r="AH18" i="34"/>
  <c r="AI18" i="40"/>
  <c r="AI38" i="38"/>
  <c r="AH34" i="22"/>
  <c r="AB42" i="39"/>
  <c r="AA43" i="39"/>
  <c r="AA45" i="39" s="1"/>
  <c r="R47" i="42"/>
  <c r="R15" i="27"/>
  <c r="R25" i="27" s="1"/>
  <c r="R47" i="27" s="1"/>
  <c r="R47" i="29"/>
  <c r="AM24" i="40"/>
  <c r="AM27" i="40" s="1"/>
  <c r="AF20" i="39"/>
  <c r="AF22" i="39" s="1"/>
  <c r="AG18" i="39"/>
  <c r="AA73" i="28"/>
  <c r="AB9" i="28"/>
  <c r="AB70" i="28" s="1"/>
  <c r="AB73" i="28" s="1"/>
  <c r="AF21" i="40"/>
  <c r="AF36" i="40" s="1"/>
  <c r="T9" i="43"/>
  <c r="T9" i="36"/>
  <c r="AL9" i="28"/>
  <c r="AL70" i="28" s="1"/>
  <c r="AK73" i="28"/>
  <c r="AK40" i="39"/>
  <c r="U9" i="12"/>
  <c r="U72" i="12" s="1"/>
  <c r="T10" i="22"/>
  <c r="T10" i="39"/>
  <c r="T15" i="39" s="1"/>
  <c r="T25" i="39" s="1"/>
  <c r="T75" i="12"/>
  <c r="AC47" i="34"/>
  <c r="AB42" i="22"/>
  <c r="AA43" i="22"/>
  <c r="AA45" i="22" s="1"/>
  <c r="AG16" i="34"/>
  <c r="AE69" i="12"/>
  <c r="U34" i="39"/>
  <c r="U45" i="39" s="1"/>
  <c r="T40" i="34"/>
  <c r="U38" i="34" s="1"/>
  <c r="T16" i="43"/>
  <c r="T18" i="43" s="1"/>
  <c r="T16" i="36"/>
  <c r="T18" i="36" s="1"/>
  <c r="AM18" i="22"/>
  <c r="AL20" i="22"/>
  <c r="S20" i="36"/>
  <c r="AK24" i="34"/>
  <c r="AM9" i="28" l="1"/>
  <c r="AM70" i="28" s="1"/>
  <c r="AL73" i="28"/>
  <c r="AH15" i="43"/>
  <c r="AH15" i="36"/>
  <c r="AI33" i="34"/>
  <c r="V67" i="12"/>
  <c r="V69" i="12" s="1"/>
  <c r="AI41" i="30"/>
  <c r="AJ32" i="22"/>
  <c r="AI18" i="34"/>
  <c r="AJ18" i="40"/>
  <c r="AJ38" i="38"/>
  <c r="AJ41" i="38" s="1"/>
  <c r="AJ43" i="38" s="1"/>
  <c r="AI34" i="22"/>
  <c r="AE16" i="43"/>
  <c r="AE16" i="36"/>
  <c r="AG50" i="30"/>
  <c r="AG38" i="12" s="1"/>
  <c r="AG9" i="34"/>
  <c r="AH9" i="40"/>
  <c r="AG47" i="30"/>
  <c r="U13" i="43"/>
  <c r="U13" i="36"/>
  <c r="U21" i="34"/>
  <c r="U36" i="34" s="1"/>
  <c r="AK35" i="29"/>
  <c r="AJ30" i="34"/>
  <c r="AJ33" i="34" s="1"/>
  <c r="AK35" i="42"/>
  <c r="AK30" i="40"/>
  <c r="AK33" i="40" s="1"/>
  <c r="AJ21" i="22"/>
  <c r="AI22" i="22"/>
  <c r="AE42" i="39"/>
  <c r="AB43" i="39"/>
  <c r="AB45" i="39" s="1"/>
  <c r="AE18" i="43"/>
  <c r="U21" i="35"/>
  <c r="U36" i="35" s="1"/>
  <c r="U40" i="35" s="1"/>
  <c r="V38" i="35" s="1"/>
  <c r="T20" i="36"/>
  <c r="T10" i="27"/>
  <c r="T23" i="36"/>
  <c r="T24" i="36" s="1"/>
  <c r="T43" i="35"/>
  <c r="T44" i="35" s="1"/>
  <c r="T10" i="31"/>
  <c r="T14" i="31" s="1"/>
  <c r="T24" i="31" s="1"/>
  <c r="T45" i="31" s="1"/>
  <c r="T43" i="34"/>
  <c r="T44" i="34" s="1"/>
  <c r="T15" i="22"/>
  <c r="T25" i="22" s="1"/>
  <c r="T47" i="22" s="1"/>
  <c r="T20" i="43"/>
  <c r="AG20" i="39"/>
  <c r="AG22" i="39" s="1"/>
  <c r="AH18" i="39"/>
  <c r="AL24" i="34"/>
  <c r="AL27" i="34" s="1"/>
  <c r="AI41" i="38"/>
  <c r="AI43" i="38" s="1"/>
  <c r="AH45" i="12"/>
  <c r="AH46" i="12" s="1"/>
  <c r="AH44" i="30"/>
  <c r="AH46" i="30" s="1"/>
  <c r="AG46" i="12"/>
  <c r="AC27" i="36"/>
  <c r="AH41" i="22"/>
  <c r="AG64" i="12"/>
  <c r="AI40" i="22"/>
  <c r="S24" i="36"/>
  <c r="AF11" i="43"/>
  <c r="AF21" i="34"/>
  <c r="AF36" i="34" s="1"/>
  <c r="AF11" i="36"/>
  <c r="AL40" i="39"/>
  <c r="U21" i="40"/>
  <c r="U36" i="40" s="1"/>
  <c r="U40" i="40" s="1"/>
  <c r="V38" i="40" s="1"/>
  <c r="AI14" i="22"/>
  <c r="AI16" i="34"/>
  <c r="AJ16" i="40"/>
  <c r="AE42" i="22"/>
  <c r="AB43" i="22"/>
  <c r="AB45" i="22" s="1"/>
  <c r="AK27" i="34"/>
  <c r="U9" i="43"/>
  <c r="U9" i="36"/>
  <c r="AN18" i="22"/>
  <c r="AM20" i="22"/>
  <c r="V31" i="39"/>
  <c r="V34" i="39" s="1"/>
  <c r="V45" i="39" s="1"/>
  <c r="V9" i="12"/>
  <c r="V72" i="12" s="1"/>
  <c r="U10" i="22"/>
  <c r="U10" i="39"/>
  <c r="U15" i="39" s="1"/>
  <c r="U25" i="39" s="1"/>
  <c r="U75" i="12"/>
  <c r="AE18" i="36"/>
  <c r="U51" i="27"/>
  <c r="V31" i="22"/>
  <c r="AJ33" i="40"/>
  <c r="AI16" i="40"/>
  <c r="S47" i="42"/>
  <c r="S47" i="29"/>
  <c r="S15" i="27"/>
  <c r="S25" i="27" s="1"/>
  <c r="S47" i="27" s="1"/>
  <c r="AF69" i="12"/>
  <c r="AN20" i="22" l="1"/>
  <c r="AO18" i="22"/>
  <c r="AI46" i="38"/>
  <c r="AI44" i="38"/>
  <c r="AK44" i="12"/>
  <c r="AL35" i="29"/>
  <c r="AK37" i="39"/>
  <c r="AL37" i="39" s="1"/>
  <c r="AJ41" i="30"/>
  <c r="AK34" i="29"/>
  <c r="AJ18" i="34"/>
  <c r="AK34" i="42"/>
  <c r="AK18" i="40"/>
  <c r="AK38" i="38"/>
  <c r="AJ34" i="22"/>
  <c r="V17" i="34"/>
  <c r="V32" i="42"/>
  <c r="V30" i="42" s="1"/>
  <c r="V17" i="40"/>
  <c r="V31" i="27"/>
  <c r="V34" i="27" s="1"/>
  <c r="V45" i="27" s="1"/>
  <c r="V30" i="31"/>
  <c r="V32" i="31" s="1"/>
  <c r="V43" i="31" s="1"/>
  <c r="V17" i="35"/>
  <c r="V34" i="22"/>
  <c r="V45" i="22" s="1"/>
  <c r="V50" i="27" s="1"/>
  <c r="V32" i="29"/>
  <c r="V30" i="29" s="1"/>
  <c r="W17" i="34"/>
  <c r="X17" i="40"/>
  <c r="X21" i="40" s="1"/>
  <c r="X36" i="40" s="1"/>
  <c r="W65" i="12"/>
  <c r="W9" i="12"/>
  <c r="V10" i="22"/>
  <c r="V10" i="39"/>
  <c r="V15" i="39" s="1"/>
  <c r="V25" i="39" s="1"/>
  <c r="V75" i="12"/>
  <c r="AF42" i="22"/>
  <c r="AE43" i="22"/>
  <c r="AE45" i="22" s="1"/>
  <c r="AM40" i="39"/>
  <c r="AI41" i="22"/>
  <c r="AH64" i="12"/>
  <c r="AH67" i="12" s="1"/>
  <c r="AF18" i="36"/>
  <c r="AH50" i="30"/>
  <c r="AH38" i="12" s="1"/>
  <c r="AH9" i="34"/>
  <c r="AI9" i="40"/>
  <c r="AI21" i="40" s="1"/>
  <c r="AI36" i="40" s="1"/>
  <c r="AH47" i="30"/>
  <c r="AQ35" i="42"/>
  <c r="AL35" i="42"/>
  <c r="AM35" i="42" s="1"/>
  <c r="AN35" i="42" s="1"/>
  <c r="AO35" i="42" s="1"/>
  <c r="AP35" i="42" s="1"/>
  <c r="AJ46" i="38"/>
  <c r="AJ44" i="38"/>
  <c r="AI45" i="12"/>
  <c r="AI46" i="12" s="1"/>
  <c r="AI44" i="30"/>
  <c r="AI46" i="30" s="1"/>
  <c r="AM73" i="28"/>
  <c r="AN9" i="28"/>
  <c r="AN70" i="28" s="1"/>
  <c r="AF16" i="43"/>
  <c r="AF16" i="36"/>
  <c r="AJ40" i="22"/>
  <c r="T47" i="42"/>
  <c r="T15" i="27"/>
  <c r="T25" i="27" s="1"/>
  <c r="T47" i="27" s="1"/>
  <c r="T47" i="29"/>
  <c r="U16" i="43"/>
  <c r="U40" i="34"/>
  <c r="V38" i="34" s="1"/>
  <c r="U16" i="36"/>
  <c r="AH21" i="40"/>
  <c r="AH36" i="40" s="1"/>
  <c r="AI18" i="39"/>
  <c r="AH20" i="39"/>
  <c r="AH22" i="39" s="1"/>
  <c r="U10" i="27"/>
  <c r="U23" i="36"/>
  <c r="U43" i="34"/>
  <c r="U44" i="34" s="1"/>
  <c r="U15" i="22"/>
  <c r="U25" i="22" s="1"/>
  <c r="U47" i="22" s="1"/>
  <c r="U43" i="35"/>
  <c r="U44" i="35" s="1"/>
  <c r="U10" i="31"/>
  <c r="U14" i="31" s="1"/>
  <c r="U24" i="31" s="1"/>
  <c r="U45" i="31" s="1"/>
  <c r="AN24" i="34"/>
  <c r="AO24" i="40"/>
  <c r="AJ14" i="22"/>
  <c r="AJ16" i="34"/>
  <c r="AK16" i="40"/>
  <c r="AF18" i="43"/>
  <c r="AG67" i="12"/>
  <c r="AG69" i="12" s="1"/>
  <c r="AF42" i="39"/>
  <c r="AE43" i="39"/>
  <c r="AE45" i="39" s="1"/>
  <c r="AK21" i="22"/>
  <c r="AJ22" i="22"/>
  <c r="AK37" i="22"/>
  <c r="U18" i="36"/>
  <c r="U20" i="36" s="1"/>
  <c r="AG11" i="43"/>
  <c r="AG21" i="34"/>
  <c r="AG36" i="34" s="1"/>
  <c r="AG11" i="36"/>
  <c r="AI15" i="43"/>
  <c r="AI15" i="36"/>
  <c r="V10" i="27" l="1"/>
  <c r="V23" i="36"/>
  <c r="V15" i="22"/>
  <c r="V25" i="22" s="1"/>
  <c r="V47" i="22" s="1"/>
  <c r="V43" i="35"/>
  <c r="V10" i="31"/>
  <c r="V14" i="31" s="1"/>
  <c r="V24" i="31" s="1"/>
  <c r="V45" i="31" s="1"/>
  <c r="V43" i="34"/>
  <c r="W13" i="43"/>
  <c r="W13" i="36"/>
  <c r="W21" i="34"/>
  <c r="W36" i="34" s="1"/>
  <c r="V13" i="43"/>
  <c r="V13" i="36"/>
  <c r="V21" i="34"/>
  <c r="V36" i="34" s="1"/>
  <c r="AC17" i="34"/>
  <c r="AC21" i="34" s="1"/>
  <c r="AC36" i="34" s="1"/>
  <c r="AC40" i="34" s="1"/>
  <c r="AL34" i="29"/>
  <c r="AK43" i="12"/>
  <c r="AK32" i="39"/>
  <c r="AO27" i="40"/>
  <c r="AI20" i="39"/>
  <c r="AI22" i="39" s="1"/>
  <c r="AJ18" i="39"/>
  <c r="AK40" i="22"/>
  <c r="AI50" i="30"/>
  <c r="AI38" i="12" s="1"/>
  <c r="AI9" i="34"/>
  <c r="AJ9" i="40"/>
  <c r="AI47" i="30"/>
  <c r="AI64" i="12"/>
  <c r="AJ41" i="22"/>
  <c r="AG42" i="22"/>
  <c r="AF43" i="22"/>
  <c r="AF45" i="22" s="1"/>
  <c r="AL34" i="42"/>
  <c r="AM34" i="42" s="1"/>
  <c r="AN34" i="42" s="1"/>
  <c r="AO34" i="42" s="1"/>
  <c r="AP34" i="42" s="1"/>
  <c r="AJ44" i="30"/>
  <c r="AJ46" i="30" s="1"/>
  <c r="AJ45" i="12"/>
  <c r="AM35" i="29"/>
  <c r="AL44" i="12"/>
  <c r="AO20" i="22"/>
  <c r="AP18" i="22"/>
  <c r="AP20" i="22" s="1"/>
  <c r="AL21" i="22"/>
  <c r="AK22" i="22"/>
  <c r="AN27" i="34"/>
  <c r="AK14" i="22"/>
  <c r="AL16" i="40" s="1"/>
  <c r="U24" i="36"/>
  <c r="AN73" i="28"/>
  <c r="AO9" i="28"/>
  <c r="AO70" i="28" s="1"/>
  <c r="AH11" i="43"/>
  <c r="AH21" i="34"/>
  <c r="AH36" i="34" s="1"/>
  <c r="AH11" i="36"/>
  <c r="AN40" i="39"/>
  <c r="W67" i="12"/>
  <c r="W69" i="12" s="1"/>
  <c r="W72" i="12" s="1"/>
  <c r="AC65" i="12"/>
  <c r="AC67" i="12" s="1"/>
  <c r="AC69" i="12" s="1"/>
  <c r="AC72" i="12" s="1"/>
  <c r="V51" i="27"/>
  <c r="V21" i="40"/>
  <c r="V36" i="40" s="1"/>
  <c r="V40" i="40" s="1"/>
  <c r="X38" i="40" s="1"/>
  <c r="W17" i="40"/>
  <c r="W21" i="40" s="1"/>
  <c r="W36" i="40" s="1"/>
  <c r="W40" i="40" s="1"/>
  <c r="AJ15" i="43"/>
  <c r="AJ15" i="36"/>
  <c r="U18" i="43"/>
  <c r="U20" i="43" s="1"/>
  <c r="AO24" i="34"/>
  <c r="AO27" i="34" s="1"/>
  <c r="AP24" i="40"/>
  <c r="AP27" i="40" s="1"/>
  <c r="AG16" i="43"/>
  <c r="AG16" i="36"/>
  <c r="AL37" i="22"/>
  <c r="AK30" i="34"/>
  <c r="AK33" i="34" s="1"/>
  <c r="AL30" i="40"/>
  <c r="AG42" i="39"/>
  <c r="AF43" i="39"/>
  <c r="AF45" i="39" s="1"/>
  <c r="U47" i="42"/>
  <c r="U47" i="29"/>
  <c r="U15" i="27"/>
  <c r="U25" i="27" s="1"/>
  <c r="U47" i="27" s="1"/>
  <c r="V9" i="43"/>
  <c r="V9" i="36"/>
  <c r="AH69" i="12"/>
  <c r="X40" i="40"/>
  <c r="Y38" i="40" s="1"/>
  <c r="Y40" i="40" s="1"/>
  <c r="Z38" i="40" s="1"/>
  <c r="Z40" i="40" s="1"/>
  <c r="AA38" i="40" s="1"/>
  <c r="AA40" i="40" s="1"/>
  <c r="AB38" i="40" s="1"/>
  <c r="AB40" i="40" s="1"/>
  <c r="AC38" i="40" s="1"/>
  <c r="AC40" i="40" s="1"/>
  <c r="AF38" i="40" s="1"/>
  <c r="V21" i="35"/>
  <c r="V36" i="35" s="1"/>
  <c r="V40" i="35" s="1"/>
  <c r="W38" i="35" s="1"/>
  <c r="W40" i="35" s="1"/>
  <c r="X38" i="35" s="1"/>
  <c r="X40" i="35" s="1"/>
  <c r="Y38" i="35" s="1"/>
  <c r="Y40" i="35" s="1"/>
  <c r="Z38" i="35" s="1"/>
  <c r="Z40" i="35" s="1"/>
  <c r="AA38" i="35" s="1"/>
  <c r="AA40" i="35" s="1"/>
  <c r="AB38" i="35" s="1"/>
  <c r="AB40" i="35" s="1"/>
  <c r="AC17" i="35"/>
  <c r="AC21" i="35" s="1"/>
  <c r="AC36" i="35" s="1"/>
  <c r="AC40" i="35" s="1"/>
  <c r="AK41" i="38"/>
  <c r="AK43" i="38" s="1"/>
  <c r="AK32" i="22"/>
  <c r="AM37" i="39"/>
  <c r="W10" i="22" l="1"/>
  <c r="X9" i="12"/>
  <c r="X72" i="12" s="1"/>
  <c r="W10" i="39"/>
  <c r="W15" i="39" s="1"/>
  <c r="W25" i="39" s="1"/>
  <c r="W75" i="12"/>
  <c r="AR38" i="40"/>
  <c r="AF40" i="40"/>
  <c r="AG38" i="40" s="1"/>
  <c r="AG40" i="40" s="1"/>
  <c r="AH38" i="40" s="1"/>
  <c r="AH40" i="40" s="1"/>
  <c r="AI38" i="40" s="1"/>
  <c r="AI40" i="40" s="1"/>
  <c r="AJ38" i="40" s="1"/>
  <c r="AH42" i="39"/>
  <c r="AG43" i="39"/>
  <c r="AG45" i="39" s="1"/>
  <c r="AD17" i="40"/>
  <c r="AD21" i="40" s="1"/>
  <c r="AD36" i="40" s="1"/>
  <c r="AD40" i="40" s="1"/>
  <c r="AH16" i="43"/>
  <c r="AH16" i="36"/>
  <c r="AH18" i="36" s="1"/>
  <c r="AK16" i="34"/>
  <c r="AJ46" i="12"/>
  <c r="AI67" i="12"/>
  <c r="AI69" i="12" s="1"/>
  <c r="AI11" i="43"/>
  <c r="AI21" i="34"/>
  <c r="AI36" i="34" s="1"/>
  <c r="AI11" i="36"/>
  <c r="AM34" i="29"/>
  <c r="AL43" i="12"/>
  <c r="V18" i="43"/>
  <c r="V20" i="43" s="1"/>
  <c r="AC13" i="43"/>
  <c r="AN37" i="39"/>
  <c r="AK44" i="38"/>
  <c r="AK46" i="38"/>
  <c r="AL33" i="40"/>
  <c r="AH18" i="43"/>
  <c r="AQ24" i="40"/>
  <c r="AQ27" i="40" s="1"/>
  <c r="AP24" i="34"/>
  <c r="AJ50" i="30"/>
  <c r="AJ38" i="12" s="1"/>
  <c r="AJ9" i="34"/>
  <c r="AK9" i="40"/>
  <c r="AK21" i="40" s="1"/>
  <c r="AK36" i="40" s="1"/>
  <c r="AJ47" i="30"/>
  <c r="AK18" i="39"/>
  <c r="AJ20" i="39"/>
  <c r="AJ22" i="39" s="1"/>
  <c r="W16" i="43"/>
  <c r="W16" i="36"/>
  <c r="V47" i="42"/>
  <c r="V15" i="27"/>
  <c r="V25" i="27" s="1"/>
  <c r="V47" i="27" s="1"/>
  <c r="V47" i="29"/>
  <c r="AO40" i="39"/>
  <c r="AO73" i="28"/>
  <c r="AP9" i="28"/>
  <c r="AP70" i="28" s="1"/>
  <c r="AP73" i="28" s="1"/>
  <c r="AG18" i="36"/>
  <c r="AM21" i="22"/>
  <c r="AL22" i="22"/>
  <c r="AQ34" i="42"/>
  <c r="AH42" i="22"/>
  <c r="AG43" i="22"/>
  <c r="AG45" i="22" s="1"/>
  <c r="AL32" i="39"/>
  <c r="AK34" i="39"/>
  <c r="V40" i="34"/>
  <c r="W38" i="34" s="1"/>
  <c r="V16" i="43"/>
  <c r="AC16" i="43" s="1"/>
  <c r="V16" i="36"/>
  <c r="W18" i="36"/>
  <c r="V44" i="35"/>
  <c r="AK41" i="30"/>
  <c r="AL32" i="22"/>
  <c r="AK18" i="34"/>
  <c r="AL18" i="40"/>
  <c r="AL38" i="38"/>
  <c r="AK34" i="22"/>
  <c r="AM37" i="22"/>
  <c r="AL30" i="34"/>
  <c r="AL33" i="34" s="1"/>
  <c r="AM30" i="40"/>
  <c r="AM33" i="40" s="1"/>
  <c r="AE9" i="12"/>
  <c r="AC75" i="12"/>
  <c r="AL14" i="22"/>
  <c r="AL16" i="34" s="1"/>
  <c r="AM16" i="40"/>
  <c r="AN35" i="29"/>
  <c r="AM44" i="12"/>
  <c r="AK41" i="22"/>
  <c r="AJ64" i="12"/>
  <c r="AJ67" i="12" s="1"/>
  <c r="AJ21" i="40"/>
  <c r="AJ36" i="40" s="1"/>
  <c r="AL40" i="22"/>
  <c r="AR24" i="40"/>
  <c r="AR27" i="40" s="1"/>
  <c r="V18" i="36"/>
  <c r="V20" i="36" s="1"/>
  <c r="V24" i="36" s="1"/>
  <c r="AC13" i="36"/>
  <c r="W18" i="43"/>
  <c r="AG18" i="43"/>
  <c r="AI42" i="22" l="1"/>
  <c r="AH43" i="22"/>
  <c r="AH45" i="22" s="1"/>
  <c r="AE72" i="12"/>
  <c r="AQ9" i="12"/>
  <c r="Y9" i="12"/>
  <c r="Y72" i="12" s="1"/>
  <c r="X10" i="22"/>
  <c r="X10" i="39"/>
  <c r="X15" i="39" s="1"/>
  <c r="X25" i="39" s="1"/>
  <c r="X75" i="12"/>
  <c r="AM40" i="22"/>
  <c r="W9" i="43"/>
  <c r="W20" i="43" s="1"/>
  <c r="W9" i="36"/>
  <c r="W20" i="36" s="1"/>
  <c r="W40" i="34"/>
  <c r="X38" i="34" s="1"/>
  <c r="AK15" i="43"/>
  <c r="AK15" i="36"/>
  <c r="AJ40" i="40"/>
  <c r="AK38" i="40" s="1"/>
  <c r="AK40" i="40" s="1"/>
  <c r="AL38" i="40" s="1"/>
  <c r="AL41" i="30"/>
  <c r="AM32" i="22"/>
  <c r="AL18" i="34"/>
  <c r="AM18" i="40"/>
  <c r="AM38" i="38"/>
  <c r="AM41" i="38" s="1"/>
  <c r="AM43" i="38" s="1"/>
  <c r="AL34" i="22"/>
  <c r="AM32" i="39"/>
  <c r="AL34" i="39"/>
  <c r="AC16" i="36"/>
  <c r="AC18" i="36" s="1"/>
  <c r="AC20" i="36" s="1"/>
  <c r="AL18" i="39"/>
  <c r="AK20" i="39"/>
  <c r="AK22" i="39" s="1"/>
  <c r="AJ21" i="34"/>
  <c r="AJ36" i="34" s="1"/>
  <c r="AJ11" i="43"/>
  <c r="AJ11" i="36"/>
  <c r="V44" i="34"/>
  <c r="AM43" i="12"/>
  <c r="AN34" i="29"/>
  <c r="W47" i="42"/>
  <c r="W43" i="34"/>
  <c r="W44" i="34" s="1"/>
  <c r="W15" i="22"/>
  <c r="W25" i="22" s="1"/>
  <c r="W47" i="22" s="1"/>
  <c r="W23" i="36"/>
  <c r="W24" i="36" s="1"/>
  <c r="W47" i="29"/>
  <c r="AL41" i="22"/>
  <c r="AK64" i="12"/>
  <c r="AK67" i="12" s="1"/>
  <c r="AN37" i="22"/>
  <c r="AM30" i="34"/>
  <c r="AM33" i="34" s="1"/>
  <c r="AN30" i="40"/>
  <c r="AM14" i="22"/>
  <c r="AM16" i="34"/>
  <c r="AN16" i="40"/>
  <c r="AP27" i="34"/>
  <c r="AQ24" i="34"/>
  <c r="AQ27" i="34" s="1"/>
  <c r="AI16" i="43"/>
  <c r="AI18" i="43" s="1"/>
  <c r="AI16" i="36"/>
  <c r="AI18" i="36" s="1"/>
  <c r="AN44" i="12"/>
  <c r="AO35" i="29"/>
  <c r="AO37" i="39" s="1"/>
  <c r="AL41" i="38"/>
  <c r="AL43" i="38" s="1"/>
  <c r="AK45" i="12"/>
  <c r="AK44" i="30"/>
  <c r="AK46" i="30" s="1"/>
  <c r="AN21" i="22"/>
  <c r="AM22" i="22"/>
  <c r="AP40" i="39"/>
  <c r="AJ69" i="12"/>
  <c r="AC18" i="43"/>
  <c r="AC20" i="43" s="1"/>
  <c r="AI42" i="39"/>
  <c r="AH43" i="39"/>
  <c r="AH45" i="39" s="1"/>
  <c r="AJ42" i="39" l="1"/>
  <c r="AI43" i="39"/>
  <c r="AI45" i="39" s="1"/>
  <c r="AO37" i="22"/>
  <c r="AN30" i="34"/>
  <c r="AN33" i="34" s="1"/>
  <c r="AO30" i="40"/>
  <c r="AO33" i="40" s="1"/>
  <c r="AJ16" i="43"/>
  <c r="AJ16" i="36"/>
  <c r="AF9" i="12"/>
  <c r="AF72" i="12" s="1"/>
  <c r="AE10" i="22"/>
  <c r="AE10" i="39"/>
  <c r="AE15" i="39" s="1"/>
  <c r="AE25" i="39" s="1"/>
  <c r="AE75" i="12"/>
  <c r="AO21" i="22"/>
  <c r="AN22" i="22"/>
  <c r="AL46" i="38"/>
  <c r="AL44" i="38"/>
  <c r="AN14" i="22"/>
  <c r="AN32" i="39"/>
  <c r="AM34" i="39"/>
  <c r="AL15" i="43"/>
  <c r="AL15" i="36"/>
  <c r="X47" i="42"/>
  <c r="X43" i="34"/>
  <c r="X15" i="22"/>
  <c r="X25" i="22" s="1"/>
  <c r="X47" i="22" s="1"/>
  <c r="X23" i="36"/>
  <c r="X47" i="29"/>
  <c r="AK50" i="30"/>
  <c r="AK38" i="12" s="1"/>
  <c r="AK9" i="34"/>
  <c r="AL9" i="40"/>
  <c r="AK47" i="30"/>
  <c r="AP35" i="29"/>
  <c r="AP44" i="12" s="1"/>
  <c r="AQ44" i="12" s="1"/>
  <c r="AO44" i="12"/>
  <c r="AN33" i="40"/>
  <c r="AL64" i="12"/>
  <c r="AM41" i="22"/>
  <c r="AJ18" i="36"/>
  <c r="AM18" i="39"/>
  <c r="AL20" i="39"/>
  <c r="AL22" i="39" s="1"/>
  <c r="AM41" i="30"/>
  <c r="AN32" i="22"/>
  <c r="AM18" i="34"/>
  <c r="AN18" i="40"/>
  <c r="AN38" i="38"/>
  <c r="AN41" i="38" s="1"/>
  <c r="AN43" i="38" s="1"/>
  <c r="AM34" i="22"/>
  <c r="X9" i="43"/>
  <c r="X20" i="43" s="1"/>
  <c r="X9" i="36"/>
  <c r="X20" i="36" s="1"/>
  <c r="X40" i="34"/>
  <c r="Y38" i="34" s="1"/>
  <c r="AN40" i="22"/>
  <c r="Z9" i="12"/>
  <c r="Z72" i="12" s="1"/>
  <c r="Y10" i="22"/>
  <c r="Y10" i="39"/>
  <c r="Y15" i="39" s="1"/>
  <c r="Y25" i="39" s="1"/>
  <c r="Y75" i="12"/>
  <c r="AK46" i="12"/>
  <c r="AO34" i="29"/>
  <c r="AN43" i="12"/>
  <c r="AJ18" i="43"/>
  <c r="AM44" i="38"/>
  <c r="AM46" i="38"/>
  <c r="AL45" i="12"/>
  <c r="AL46" i="12" s="1"/>
  <c r="AL44" i="30"/>
  <c r="AL46" i="30" s="1"/>
  <c r="AJ42" i="22"/>
  <c r="AI43" i="22"/>
  <c r="AI45" i="22" s="1"/>
  <c r="Y47" i="42" l="1"/>
  <c r="Y47" i="29"/>
  <c r="Y23" i="36"/>
  <c r="Y15" i="22"/>
  <c r="Y25" i="22" s="1"/>
  <c r="Y47" i="22" s="1"/>
  <c r="Y43" i="34"/>
  <c r="Y9" i="43"/>
  <c r="Y20" i="43" s="1"/>
  <c r="Y9" i="36"/>
  <c r="Y20" i="36" s="1"/>
  <c r="Y40" i="34"/>
  <c r="Z38" i="34" s="1"/>
  <c r="AN44" i="38"/>
  <c r="AN46" i="38"/>
  <c r="AM44" i="30"/>
  <c r="AM46" i="30" s="1"/>
  <c r="AM45" i="12"/>
  <c r="AM46" i="12" s="1"/>
  <c r="AK69" i="12"/>
  <c r="X44" i="34"/>
  <c r="AO14" i="22"/>
  <c r="AO16" i="34"/>
  <c r="AP16" i="40"/>
  <c r="AP21" i="22"/>
  <c r="AP22" i="22" s="1"/>
  <c r="AO22" i="22"/>
  <c r="AG9" i="12"/>
  <c r="AG72" i="12" s="1"/>
  <c r="AF10" i="22"/>
  <c r="AF10" i="39"/>
  <c r="AF15" i="39" s="1"/>
  <c r="AF25" i="39" s="1"/>
  <c r="AF75" i="12"/>
  <c r="AO32" i="39"/>
  <c r="AN34" i="39"/>
  <c r="AP37" i="22"/>
  <c r="AO30" i="34"/>
  <c r="AO33" i="34" s="1"/>
  <c r="AP30" i="40"/>
  <c r="AP33" i="40" s="1"/>
  <c r="AM15" i="43"/>
  <c r="AM15" i="36"/>
  <c r="AL67" i="12"/>
  <c r="AQ35" i="29"/>
  <c r="AL21" i="40"/>
  <c r="AL36" i="40" s="1"/>
  <c r="AL40" i="40" s="1"/>
  <c r="AM38" i="40" s="1"/>
  <c r="X24" i="36"/>
  <c r="AO16" i="40"/>
  <c r="AP37" i="39"/>
  <c r="AL50" i="30"/>
  <c r="AL38" i="12" s="1"/>
  <c r="AL69" i="12" s="1"/>
  <c r="AL9" i="34"/>
  <c r="AM9" i="40"/>
  <c r="AM21" i="40" s="1"/>
  <c r="AM36" i="40" s="1"/>
  <c r="AM40" i="40" s="1"/>
  <c r="AN38" i="40" s="1"/>
  <c r="AL47" i="30"/>
  <c r="AA9" i="12"/>
  <c r="AA72" i="12" s="1"/>
  <c r="Z10" i="22"/>
  <c r="Z10" i="39"/>
  <c r="Z15" i="39" s="1"/>
  <c r="Z25" i="39" s="1"/>
  <c r="Z75" i="12"/>
  <c r="AN41" i="22"/>
  <c r="AM64" i="12"/>
  <c r="AM67" i="12" s="1"/>
  <c r="AK42" i="22"/>
  <c r="AJ43" i="22"/>
  <c r="AJ45" i="22" s="1"/>
  <c r="AP34" i="29"/>
  <c r="AP43" i="12" s="1"/>
  <c r="AO43" i="12"/>
  <c r="AO40" i="22"/>
  <c r="AN41" i="30"/>
  <c r="AO32" i="22"/>
  <c r="AN18" i="34"/>
  <c r="AO18" i="40"/>
  <c r="AO38" i="38"/>
  <c r="AO41" i="38" s="1"/>
  <c r="AO43" i="38" s="1"/>
  <c r="AN34" i="22"/>
  <c r="AN18" i="39"/>
  <c r="AM20" i="39"/>
  <c r="AM22" i="39" s="1"/>
  <c r="AK11" i="43"/>
  <c r="AK21" i="34"/>
  <c r="AK36" i="34" s="1"/>
  <c r="AK11" i="36"/>
  <c r="AN16" i="34"/>
  <c r="AE47" i="42"/>
  <c r="AE23" i="36"/>
  <c r="AE43" i="34"/>
  <c r="AE47" i="29"/>
  <c r="AE15" i="22"/>
  <c r="AE25" i="22" s="1"/>
  <c r="AE47" i="22" s="1"/>
  <c r="AK42" i="39"/>
  <c r="AJ43" i="39"/>
  <c r="AJ45" i="39" s="1"/>
  <c r="AQ34" i="29"/>
  <c r="AO41" i="22" l="1"/>
  <c r="AN64" i="12"/>
  <c r="AN67" i="12" s="1"/>
  <c r="AA10" i="22"/>
  <c r="AB9" i="12"/>
  <c r="AB72" i="12" s="1"/>
  <c r="AA10" i="39"/>
  <c r="AA15" i="39" s="1"/>
  <c r="AA25" i="39" s="1"/>
  <c r="AA75" i="12"/>
  <c r="AP32" i="39"/>
  <c r="AP34" i="39" s="1"/>
  <c r="AO34" i="39"/>
  <c r="AH9" i="12"/>
  <c r="AH72" i="12" s="1"/>
  <c r="AG10" i="22"/>
  <c r="AG10" i="39"/>
  <c r="AG15" i="39" s="1"/>
  <c r="AG25" i="39" s="1"/>
  <c r="AG75" i="12"/>
  <c r="AL42" i="39"/>
  <c r="AK43" i="39"/>
  <c r="AK45" i="39" s="1"/>
  <c r="AN20" i="39"/>
  <c r="AN22" i="39" s="1"/>
  <c r="AO18" i="39"/>
  <c r="AN15" i="43"/>
  <c r="AN15" i="36"/>
  <c r="AP14" i="22"/>
  <c r="AQ16" i="40" s="1"/>
  <c r="AR16" i="40" s="1"/>
  <c r="AP16" i="34"/>
  <c r="AQ16" i="34" s="1"/>
  <c r="Y44" i="34"/>
  <c r="AK16" i="43"/>
  <c r="AK16" i="36"/>
  <c r="AK18" i="36" s="1"/>
  <c r="AO41" i="30"/>
  <c r="AP32" i="22"/>
  <c r="AO18" i="34"/>
  <c r="AP18" i="40"/>
  <c r="AP38" i="38"/>
  <c r="AP41" i="38" s="1"/>
  <c r="AP43" i="38" s="1"/>
  <c r="AO34" i="22"/>
  <c r="AP40" i="22"/>
  <c r="AL42" i="22"/>
  <c r="AK43" i="22"/>
  <c r="AK45" i="22" s="1"/>
  <c r="AP30" i="34"/>
  <c r="AQ30" i="40"/>
  <c r="Z9" i="43"/>
  <c r="Z20" i="43" s="1"/>
  <c r="Z9" i="36"/>
  <c r="Z20" i="36" s="1"/>
  <c r="Z40" i="34"/>
  <c r="AA38" i="34" s="1"/>
  <c r="AK18" i="43"/>
  <c r="AO46" i="38"/>
  <c r="AO44" i="38"/>
  <c r="AN45" i="12"/>
  <c r="AN46" i="12" s="1"/>
  <c r="AN44" i="30"/>
  <c r="AN46" i="30" s="1"/>
  <c r="Z47" i="42"/>
  <c r="Z47" i="29"/>
  <c r="Z43" i="34"/>
  <c r="Z44" i="34" s="1"/>
  <c r="Z23" i="36"/>
  <c r="Z24" i="36" s="1"/>
  <c r="Z15" i="22"/>
  <c r="Z25" i="22" s="1"/>
  <c r="Z47" i="22" s="1"/>
  <c r="AL11" i="43"/>
  <c r="AL21" i="34"/>
  <c r="AL36" i="34" s="1"/>
  <c r="AL11" i="36"/>
  <c r="AF47" i="42"/>
  <c r="AF23" i="36"/>
  <c r="AF47" i="29"/>
  <c r="AF43" i="34"/>
  <c r="AF15" i="22"/>
  <c r="AF25" i="22" s="1"/>
  <c r="AF47" i="22" s="1"/>
  <c r="AM50" i="30"/>
  <c r="AM38" i="12" s="1"/>
  <c r="AM69" i="12" s="1"/>
  <c r="AM9" i="34"/>
  <c r="AN9" i="40"/>
  <c r="AN21" i="40" s="1"/>
  <c r="AN36" i="40" s="1"/>
  <c r="AN40" i="40" s="1"/>
  <c r="AO38" i="40" s="1"/>
  <c r="AM47" i="30"/>
  <c r="Y24" i="36"/>
  <c r="AQ43" i="12"/>
  <c r="AN50" i="30" l="1"/>
  <c r="AN38" i="12" s="1"/>
  <c r="AN69" i="12" s="1"/>
  <c r="AN9" i="34"/>
  <c r="AO9" i="40"/>
  <c r="AO21" i="40" s="1"/>
  <c r="AO36" i="40" s="1"/>
  <c r="AO40" i="40" s="1"/>
  <c r="AP38" i="40" s="1"/>
  <c r="AN47" i="30"/>
  <c r="AQ33" i="40"/>
  <c r="AR30" i="40"/>
  <c r="AR33" i="40" s="1"/>
  <c r="AI9" i="12"/>
  <c r="AI72" i="12" s="1"/>
  <c r="AH10" i="22"/>
  <c r="AH10" i="39"/>
  <c r="AH15" i="39" s="1"/>
  <c r="AH25" i="39" s="1"/>
  <c r="AH75" i="12"/>
  <c r="AA9" i="43"/>
  <c r="AA20" i="43" s="1"/>
  <c r="AA9" i="36"/>
  <c r="AA20" i="36" s="1"/>
  <c r="AA40" i="34"/>
  <c r="AB38" i="34" s="1"/>
  <c r="AO64" i="12"/>
  <c r="AO67" i="12" s="1"/>
  <c r="AP41" i="22"/>
  <c r="AP64" i="12" s="1"/>
  <c r="AP41" i="30"/>
  <c r="AP18" i="34"/>
  <c r="AQ18" i="40"/>
  <c r="AR18" i="40" s="1"/>
  <c r="AQ38" i="38"/>
  <c r="AP34" i="22"/>
  <c r="AB10" i="22"/>
  <c r="AB10" i="39"/>
  <c r="AB15" i="39" s="1"/>
  <c r="AB25" i="39" s="1"/>
  <c r="AB75" i="12"/>
  <c r="AL16" i="43"/>
  <c r="AL16" i="36"/>
  <c r="AM42" i="39"/>
  <c r="AL43" i="39"/>
  <c r="AL45" i="39" s="1"/>
  <c r="AL18" i="43"/>
  <c r="AP33" i="34"/>
  <c r="AQ30" i="34"/>
  <c r="AQ33" i="34" s="1"/>
  <c r="AO15" i="43"/>
  <c r="AO15" i="36"/>
  <c r="AM21" i="34"/>
  <c r="AM36" i="34" s="1"/>
  <c r="AM11" i="43"/>
  <c r="AM11" i="36"/>
  <c r="AL18" i="36"/>
  <c r="AM42" i="22"/>
  <c r="AL43" i="22"/>
  <c r="AL45" i="22" s="1"/>
  <c r="AP46" i="38"/>
  <c r="AP44" i="38"/>
  <c r="AO45" i="12"/>
  <c r="AO46" i="12" s="1"/>
  <c r="AO44" i="30"/>
  <c r="AO46" i="30" s="1"/>
  <c r="AO20" i="39"/>
  <c r="AO22" i="39" s="1"/>
  <c r="AP18" i="39"/>
  <c r="AP20" i="39" s="1"/>
  <c r="AP22" i="39" s="1"/>
  <c r="AG47" i="42"/>
  <c r="AG15" i="22"/>
  <c r="AG25" i="22" s="1"/>
  <c r="AG47" i="22" s="1"/>
  <c r="AG23" i="36"/>
  <c r="AG43" i="34"/>
  <c r="AG47" i="29"/>
  <c r="AA47" i="42"/>
  <c r="AA23" i="36"/>
  <c r="AA24" i="36" s="1"/>
  <c r="AA15" i="22"/>
  <c r="AA25" i="22" s="1"/>
  <c r="AA47" i="22" s="1"/>
  <c r="AA47" i="29"/>
  <c r="AA43" i="34"/>
  <c r="AA44" i="34" s="1"/>
  <c r="AN42" i="39" l="1"/>
  <c r="AM43" i="39"/>
  <c r="AM45" i="39" s="1"/>
  <c r="AP44" i="30"/>
  <c r="AP46" i="30" s="1"/>
  <c r="AP45" i="12"/>
  <c r="AQ41" i="30"/>
  <c r="AQ44" i="30" s="1"/>
  <c r="AQ46" i="30" s="1"/>
  <c r="AJ9" i="12"/>
  <c r="AJ72" i="12" s="1"/>
  <c r="AI10" i="22"/>
  <c r="AI10" i="39"/>
  <c r="AI15" i="39" s="1"/>
  <c r="AI25" i="39" s="1"/>
  <c r="AI75" i="12"/>
  <c r="AQ41" i="38"/>
  <c r="AQ43" i="38" s="1"/>
  <c r="AR38" i="38"/>
  <c r="AR41" i="38" s="1"/>
  <c r="AR43" i="38" s="1"/>
  <c r="AN11" i="43"/>
  <c r="AN21" i="34"/>
  <c r="AN36" i="34" s="1"/>
  <c r="AN11" i="36"/>
  <c r="AB9" i="43"/>
  <c r="AB20" i="43" s="1"/>
  <c r="AB9" i="36"/>
  <c r="AB20" i="36" s="1"/>
  <c r="AB40" i="34"/>
  <c r="AE38" i="34" s="1"/>
  <c r="AO50" i="30"/>
  <c r="AO38" i="12" s="1"/>
  <c r="AO69" i="12" s="1"/>
  <c r="AO9" i="34"/>
  <c r="AP9" i="40"/>
  <c r="AP21" i="40" s="1"/>
  <c r="AP36" i="40" s="1"/>
  <c r="AP40" i="40" s="1"/>
  <c r="AQ38" i="40" s="1"/>
  <c r="AO47" i="30"/>
  <c r="AB47" i="42"/>
  <c r="AB23" i="36"/>
  <c r="AB47" i="29"/>
  <c r="AB43" i="34"/>
  <c r="AB15" i="22"/>
  <c r="AB25" i="22" s="1"/>
  <c r="AB47" i="22" s="1"/>
  <c r="AN42" i="22"/>
  <c r="AM43" i="22"/>
  <c r="AM45" i="22" s="1"/>
  <c r="AM16" i="43"/>
  <c r="AM18" i="43" s="1"/>
  <c r="AM16" i="36"/>
  <c r="AM18" i="36" s="1"/>
  <c r="AP15" i="43"/>
  <c r="AQ15" i="43" s="1"/>
  <c r="AP15" i="36"/>
  <c r="AQ15" i="36" s="1"/>
  <c r="AQ18" i="34"/>
  <c r="AP67" i="12"/>
  <c r="AQ64" i="12"/>
  <c r="AQ67" i="12" s="1"/>
  <c r="AH47" i="42"/>
  <c r="AH47" i="29"/>
  <c r="AH23" i="36"/>
  <c r="AH15" i="22"/>
  <c r="AH25" i="22" s="1"/>
  <c r="AH47" i="22" s="1"/>
  <c r="AH43" i="34"/>
  <c r="AO42" i="22" l="1"/>
  <c r="AN43" i="22"/>
  <c r="AN45" i="22" s="1"/>
  <c r="AB24" i="36"/>
  <c r="AC23" i="36"/>
  <c r="AC24" i="36" s="1"/>
  <c r="AK9" i="12"/>
  <c r="AK72" i="12" s="1"/>
  <c r="AJ10" i="22"/>
  <c r="AJ10" i="39"/>
  <c r="AJ15" i="39" s="1"/>
  <c r="AJ25" i="39" s="1"/>
  <c r="AJ75" i="12"/>
  <c r="AO21" i="34"/>
  <c r="AO36" i="34" s="1"/>
  <c r="AO11" i="43"/>
  <c r="AO11" i="36"/>
  <c r="AR46" i="38"/>
  <c r="AR44" i="38"/>
  <c r="AQ47" i="30"/>
  <c r="AQ48" i="30"/>
  <c r="AQ50" i="30"/>
  <c r="AB44" i="34"/>
  <c r="AC43" i="34"/>
  <c r="AC44" i="34" s="1"/>
  <c r="AQ44" i="38"/>
  <c r="AQ46" i="38"/>
  <c r="AQ45" i="12"/>
  <c r="AQ46" i="12" s="1"/>
  <c r="AP46" i="12"/>
  <c r="AO42" i="39"/>
  <c r="AN43" i="39"/>
  <c r="AN45" i="39" s="1"/>
  <c r="AE9" i="43"/>
  <c r="AQ38" i="34"/>
  <c r="AE9" i="36"/>
  <c r="AE40" i="34"/>
  <c r="AN16" i="43"/>
  <c r="AN18" i="43" s="1"/>
  <c r="AN16" i="36"/>
  <c r="AN18" i="36" s="1"/>
  <c r="AI47" i="42"/>
  <c r="AI47" i="29"/>
  <c r="AI15" i="22"/>
  <c r="AI25" i="22" s="1"/>
  <c r="AI47" i="22" s="1"/>
  <c r="AI43" i="34"/>
  <c r="AI23" i="36"/>
  <c r="AP50" i="30"/>
  <c r="AP38" i="12" s="1"/>
  <c r="AP9" i="34"/>
  <c r="AQ9" i="40"/>
  <c r="AP47" i="30"/>
  <c r="AF38" i="34" l="1"/>
  <c r="AE44" i="34"/>
  <c r="AO16" i="43"/>
  <c r="AO16" i="36"/>
  <c r="AE20" i="36"/>
  <c r="AE24" i="36" s="1"/>
  <c r="AQ9" i="36"/>
  <c r="AP11" i="43"/>
  <c r="AP21" i="34"/>
  <c r="AP36" i="34" s="1"/>
  <c r="AP11" i="36"/>
  <c r="AQ9" i="34"/>
  <c r="AO18" i="36"/>
  <c r="AP42" i="22"/>
  <c r="AP43" i="22" s="1"/>
  <c r="AP45" i="22" s="1"/>
  <c r="AO43" i="22"/>
  <c r="AO45" i="22" s="1"/>
  <c r="AJ47" i="42"/>
  <c r="AJ15" i="22"/>
  <c r="AJ25" i="22" s="1"/>
  <c r="AJ47" i="22" s="1"/>
  <c r="AJ23" i="36"/>
  <c r="AJ47" i="29"/>
  <c r="AJ43" i="34"/>
  <c r="AQ21" i="40"/>
  <c r="AQ36" i="40" s="1"/>
  <c r="AQ40" i="40" s="1"/>
  <c r="AR9" i="40"/>
  <c r="AR21" i="40" s="1"/>
  <c r="AR36" i="40" s="1"/>
  <c r="AR40" i="40" s="1"/>
  <c r="AP42" i="39"/>
  <c r="AP43" i="39" s="1"/>
  <c r="AP45" i="39" s="1"/>
  <c r="AO43" i="39"/>
  <c r="AO45" i="39" s="1"/>
  <c r="AL9" i="12"/>
  <c r="AL72" i="12" s="1"/>
  <c r="AK10" i="22"/>
  <c r="AK10" i="39"/>
  <c r="AK15" i="39" s="1"/>
  <c r="AK25" i="39" s="1"/>
  <c r="AK75" i="12"/>
  <c r="AP69" i="12"/>
  <c r="AQ38" i="12"/>
  <c r="AQ69" i="12" s="1"/>
  <c r="AQ72" i="12" s="1"/>
  <c r="AQ75" i="12" s="1"/>
  <c r="AQ9" i="43"/>
  <c r="AE20" i="43"/>
  <c r="AO18" i="43"/>
  <c r="AM9" i="12" l="1"/>
  <c r="AM72" i="12" s="1"/>
  <c r="AL10" i="22"/>
  <c r="AL10" i="39"/>
  <c r="AL15" i="39" s="1"/>
  <c r="AL25" i="39" s="1"/>
  <c r="AL75" i="12"/>
  <c r="AQ21" i="34"/>
  <c r="AQ36" i="34" s="1"/>
  <c r="AQ40" i="34" s="1"/>
  <c r="AQ47" i="34"/>
  <c r="AP18" i="36"/>
  <c r="AQ11" i="36"/>
  <c r="AP16" i="43"/>
  <c r="AQ16" i="43" s="1"/>
  <c r="AP16" i="36"/>
  <c r="AQ16" i="36" s="1"/>
  <c r="AK47" i="42"/>
  <c r="AK15" i="22"/>
  <c r="AK25" i="22" s="1"/>
  <c r="AK47" i="22" s="1"/>
  <c r="AK43" i="34"/>
  <c r="AK47" i="29"/>
  <c r="AK23" i="36"/>
  <c r="AQ11" i="43"/>
  <c r="AF9" i="43"/>
  <c r="AF20" i="43" s="1"/>
  <c r="AF9" i="36"/>
  <c r="AF20" i="36" s="1"/>
  <c r="AF24" i="36" s="1"/>
  <c r="AF40" i="34"/>
  <c r="AQ18" i="36" l="1"/>
  <c r="AQ20" i="36" s="1"/>
  <c r="AQ27" i="36"/>
  <c r="AQ18" i="43"/>
  <c r="AQ20" i="43" s="1"/>
  <c r="AL47" i="42"/>
  <c r="AL23" i="36"/>
  <c r="AL15" i="22"/>
  <c r="AL25" i="22" s="1"/>
  <c r="AL47" i="22" s="1"/>
  <c r="AL47" i="29"/>
  <c r="AL43" i="34"/>
  <c r="AG38" i="34"/>
  <c r="AF44" i="34"/>
  <c r="AP18" i="43"/>
  <c r="AN9" i="12"/>
  <c r="AN72" i="12" s="1"/>
  <c r="AM10" i="22"/>
  <c r="AM10" i="39"/>
  <c r="AM15" i="39" s="1"/>
  <c r="AM25" i="39" s="1"/>
  <c r="AM75" i="12"/>
  <c r="AM47" i="42" l="1"/>
  <c r="AM15" i="22"/>
  <c r="AM25" i="22" s="1"/>
  <c r="AM47" i="22" s="1"/>
  <c r="AM43" i="34"/>
  <c r="AM23" i="36"/>
  <c r="AM47" i="29"/>
  <c r="AO9" i="12"/>
  <c r="AO72" i="12" s="1"/>
  <c r="AN10" i="22"/>
  <c r="AN10" i="39"/>
  <c r="AN15" i="39" s="1"/>
  <c r="AN25" i="39" s="1"/>
  <c r="AN75" i="12"/>
  <c r="AG9" i="43"/>
  <c r="AG20" i="43" s="1"/>
  <c r="AG9" i="36"/>
  <c r="AG20" i="36" s="1"/>
  <c r="AG24" i="36" s="1"/>
  <c r="AG40" i="34"/>
  <c r="AN47" i="42" l="1"/>
  <c r="AN47" i="29"/>
  <c r="AN23" i="36"/>
  <c r="AN15" i="22"/>
  <c r="AN25" i="22" s="1"/>
  <c r="AN47" i="22" s="1"/>
  <c r="AN43" i="34"/>
  <c r="AP9" i="12"/>
  <c r="AP72" i="12" s="1"/>
  <c r="AO10" i="22"/>
  <c r="AO10" i="39"/>
  <c r="AO15" i="39" s="1"/>
  <c r="AO25" i="39" s="1"/>
  <c r="AO75" i="12"/>
  <c r="AH38" i="34"/>
  <c r="AG44" i="34"/>
  <c r="AO47" i="42" l="1"/>
  <c r="AO15" i="22"/>
  <c r="AO25" i="22" s="1"/>
  <c r="AO47" i="22" s="1"/>
  <c r="AO23" i="36"/>
  <c r="AO43" i="34"/>
  <c r="AO47" i="29"/>
  <c r="AH9" i="43"/>
  <c r="AH20" i="43" s="1"/>
  <c r="AH9" i="36"/>
  <c r="AH20" i="36" s="1"/>
  <c r="AH24" i="36" s="1"/>
  <c r="AH40" i="34"/>
  <c r="AP10" i="22"/>
  <c r="AP10" i="39"/>
  <c r="AP15" i="39" s="1"/>
  <c r="AP25" i="39" s="1"/>
  <c r="AP75" i="12"/>
  <c r="AI38" i="34" l="1"/>
  <c r="AH44" i="34"/>
  <c r="AP47" i="42"/>
  <c r="AP15" i="22"/>
  <c r="AP25" i="22" s="1"/>
  <c r="AP47" i="22" s="1"/>
  <c r="AP23" i="36"/>
  <c r="AP47" i="29"/>
  <c r="AP43" i="34"/>
  <c r="AQ23" i="36" l="1"/>
  <c r="AQ24" i="36" s="1"/>
  <c r="AQ43" i="34"/>
  <c r="AQ44" i="34" s="1"/>
  <c r="AI9" i="43"/>
  <c r="AI20" i="43" s="1"/>
  <c r="AI9" i="36"/>
  <c r="AI20" i="36" s="1"/>
  <c r="AI24" i="36" s="1"/>
  <c r="AI40" i="34"/>
  <c r="AJ38" i="34" l="1"/>
  <c r="AI44" i="34"/>
  <c r="AJ9" i="43" l="1"/>
  <c r="AJ20" i="43" s="1"/>
  <c r="AJ9" i="36"/>
  <c r="AJ20" i="36" s="1"/>
  <c r="AJ24" i="36" s="1"/>
  <c r="AJ40" i="34"/>
  <c r="AK38" i="34" l="1"/>
  <c r="AJ44" i="34"/>
  <c r="AK9" i="43" l="1"/>
  <c r="AK20" i="43" s="1"/>
  <c r="AK9" i="36"/>
  <c r="AK20" i="36" s="1"/>
  <c r="AK24" i="36" s="1"/>
  <c r="AK40" i="34"/>
  <c r="AL38" i="34" l="1"/>
  <c r="AK44" i="34"/>
  <c r="AL9" i="43" l="1"/>
  <c r="AL20" i="43" s="1"/>
  <c r="AL9" i="36"/>
  <c r="AL20" i="36" s="1"/>
  <c r="AL24" i="36" s="1"/>
  <c r="AL40" i="34"/>
  <c r="AM38" i="34" l="1"/>
  <c r="AL44" i="34"/>
  <c r="AM9" i="43" l="1"/>
  <c r="AM20" i="43" s="1"/>
  <c r="AM9" i="36"/>
  <c r="AM20" i="36" s="1"/>
  <c r="AM24" i="36" s="1"/>
  <c r="AM40" i="34"/>
  <c r="AN38" i="34" l="1"/>
  <c r="AM44" i="34"/>
  <c r="AN9" i="43" l="1"/>
  <c r="AN20" i="43" s="1"/>
  <c r="AN9" i="36"/>
  <c r="AN20" i="36" s="1"/>
  <c r="AN24" i="36" s="1"/>
  <c r="AN40" i="34"/>
  <c r="AO38" i="34" l="1"/>
  <c r="AN44" i="34"/>
  <c r="AO9" i="43" l="1"/>
  <c r="AO20" i="43" s="1"/>
  <c r="AO9" i="36"/>
  <c r="AO20" i="36" s="1"/>
  <c r="AO24" i="36" s="1"/>
  <c r="AO40" i="34"/>
  <c r="AP38" i="34" l="1"/>
  <c r="AO44" i="34"/>
  <c r="AP9" i="43" l="1"/>
  <c r="AP20" i="43" s="1"/>
  <c r="AP9" i="36"/>
  <c r="AP20" i="36" s="1"/>
  <c r="AP24" i="36" s="1"/>
  <c r="AP40" i="34"/>
  <c r="AP44" i="34" s="1"/>
</calcChain>
</file>

<file path=xl/sharedStrings.xml><?xml version="1.0" encoding="utf-8"?>
<sst xmlns="http://schemas.openxmlformats.org/spreadsheetml/2006/main" count="1930" uniqueCount="223">
  <si>
    <t>The Peace of Mind Schedule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</si>
  <si>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</si>
  <si>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</si>
  <si>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</si>
  <si>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</si>
  <si>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</si>
  <si>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</si>
  <si>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</si>
  <si>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</si>
  <si>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</si>
  <si>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</si>
  <si>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</si>
  <si>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</si>
  <si>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Beginning cash balance</t>
  </si>
  <si>
    <t xml:space="preserve">           Section 1</t>
  </si>
  <si>
    <t>Revenues</t>
  </si>
  <si>
    <t>Sales</t>
  </si>
  <si>
    <t>Other</t>
  </si>
  <si>
    <t>Total</t>
  </si>
  <si>
    <t>Cost of good sold</t>
  </si>
  <si>
    <t>Gross profit</t>
  </si>
  <si>
    <t>Operating expenses</t>
  </si>
  <si>
    <t>Rent</t>
  </si>
  <si>
    <t>Advertising and marketing</t>
  </si>
  <si>
    <t>Insurance</t>
  </si>
  <si>
    <t>Repairs and maintenance</t>
  </si>
  <si>
    <t>Legal and accounting</t>
  </si>
  <si>
    <t>Telephone and utilities</t>
  </si>
  <si>
    <t>Travel, meals and entertainment</t>
  </si>
  <si>
    <t>Office supplies and expenses</t>
  </si>
  <si>
    <t>Dues and subscriptions</t>
  </si>
  <si>
    <t>Miscellaneous</t>
  </si>
  <si>
    <t>EBITDA</t>
  </si>
  <si>
    <t xml:space="preserve">           Section 2</t>
  </si>
  <si>
    <t>Debt Service (principal and interest)</t>
  </si>
  <si>
    <t xml:space="preserve"> Totals</t>
  </si>
  <si>
    <t xml:space="preserve">           Section 3</t>
  </si>
  <si>
    <t>Investments</t>
  </si>
  <si>
    <t>Capital expenditures</t>
  </si>
  <si>
    <t xml:space="preserve">           Section 4</t>
  </si>
  <si>
    <t>Other cash flow items and timing differences</t>
  </si>
  <si>
    <t>Add: cost of goods sold</t>
  </si>
  <si>
    <t>Deduct: inventory purchases</t>
  </si>
  <si>
    <t>Deduct: sales</t>
  </si>
  <si>
    <t>Add: cash collected from sales and A/R</t>
  </si>
  <si>
    <t>Estimated tax payments</t>
  </si>
  <si>
    <t>Change in accounts payable</t>
  </si>
  <si>
    <t>Net cash flow</t>
  </si>
  <si>
    <t>Ending cash balance</t>
  </si>
  <si>
    <t>Minimum cash balance target</t>
  </si>
  <si>
    <t>Cash excess (shortfall)</t>
  </si>
  <si>
    <t xml:space="preserve"> </t>
  </si>
  <si>
    <t>Interest</t>
  </si>
  <si>
    <t>Pretax income</t>
  </si>
  <si>
    <t>Actual</t>
  </si>
  <si>
    <t>Balance Sheet</t>
  </si>
  <si>
    <t>Cash</t>
  </si>
  <si>
    <t>ASSETS</t>
  </si>
  <si>
    <t>Current Assets</t>
  </si>
  <si>
    <t>Accounts receivable</t>
  </si>
  <si>
    <t>Inventory</t>
  </si>
  <si>
    <t>Other current assets</t>
  </si>
  <si>
    <t xml:space="preserve">  Total current assets</t>
  </si>
  <si>
    <t>Property</t>
  </si>
  <si>
    <t>Leasehold improvements</t>
  </si>
  <si>
    <t xml:space="preserve"> Gross property</t>
  </si>
  <si>
    <t>Less: accumulated depreciation</t>
  </si>
  <si>
    <t xml:space="preserve"> Net property</t>
  </si>
  <si>
    <t>Total Assets</t>
  </si>
  <si>
    <t>Current Liabilities</t>
  </si>
  <si>
    <t>Accounts payable &amp; accrued liabilities</t>
  </si>
  <si>
    <t xml:space="preserve"> Total current liabilities</t>
  </si>
  <si>
    <t>Long-Term Debt</t>
  </si>
  <si>
    <t>Notes payable</t>
  </si>
  <si>
    <t>Equity</t>
  </si>
  <si>
    <t>Retained earnings</t>
  </si>
  <si>
    <t xml:space="preserve"> Total equity</t>
  </si>
  <si>
    <t>Total Liabilities and Equity</t>
  </si>
  <si>
    <t>LIABILITIES &amp; EQUITY</t>
  </si>
  <si>
    <t>Income Statement</t>
  </si>
  <si>
    <t>Employee wages and taxes</t>
  </si>
  <si>
    <t>Credit card and bank fees</t>
  </si>
  <si>
    <t>Prior Year</t>
  </si>
  <si>
    <t>First National Bank</t>
  </si>
  <si>
    <t>Current Year</t>
  </si>
  <si>
    <t>Furniture, fixtures and equipment</t>
  </si>
  <si>
    <t>Current portion of notes payable</t>
  </si>
  <si>
    <t>Owner's Investment</t>
  </si>
  <si>
    <t>Debt</t>
  </si>
  <si>
    <t>Distributions to owner</t>
  </si>
  <si>
    <t>Next Year</t>
  </si>
  <si>
    <t>Operating income</t>
  </si>
  <si>
    <t>discuss how he did not enter invoices unless he could pay them</t>
  </si>
  <si>
    <t>Depreciation &amp; amortization</t>
  </si>
  <si>
    <t>Interest expense</t>
  </si>
  <si>
    <t>Other expense (income)</t>
  </si>
  <si>
    <t>Owner distributions</t>
  </si>
  <si>
    <t>Number of transactions</t>
  </si>
  <si>
    <t>Average ticket (sales per transaction)</t>
  </si>
  <si>
    <t>Forecast</t>
  </si>
  <si>
    <t>DSO (days sales outstanding)</t>
  </si>
  <si>
    <t>DIO (days inventory outstanding)</t>
  </si>
  <si>
    <t>DPO (days payables outstanding)</t>
  </si>
  <si>
    <t>Accounts payable</t>
  </si>
  <si>
    <t>Assumptions Summary</t>
  </si>
  <si>
    <t>Cash balance</t>
  </si>
  <si>
    <t>NA</t>
  </si>
  <si>
    <t>Average daily cost of sales (last two months)</t>
  </si>
  <si>
    <t>Average daily sales (last two months)</t>
  </si>
  <si>
    <t>Average daily cost of sales and expenses</t>
  </si>
  <si>
    <t>Professional fees</t>
  </si>
  <si>
    <t>All other</t>
  </si>
  <si>
    <t>Number of projects</t>
  </si>
  <si>
    <t>Average revenue per project</t>
  </si>
  <si>
    <t>Office expenses</t>
  </si>
  <si>
    <t>Machinery and equipment</t>
  </si>
  <si>
    <t>Short-term notes payable</t>
  </si>
  <si>
    <t>Costs and estimated earnings in excess of billings on uncompleted contracts</t>
  </si>
  <si>
    <t>Billings in excess of costs and estimated earnings on uncompleted contracts</t>
  </si>
  <si>
    <t>ST debt principal payments</t>
  </si>
  <si>
    <t>LT debt principal payments</t>
  </si>
  <si>
    <t>Change in average revenue per project from same month prior year</t>
  </si>
  <si>
    <t>Gross margin</t>
  </si>
  <si>
    <t>Contracts in Progress</t>
  </si>
  <si>
    <t>For the 12 Months</t>
  </si>
  <si>
    <t>Contract</t>
  </si>
  <si>
    <t>Total Contract</t>
  </si>
  <si>
    <t>Ended xxxxxx</t>
  </si>
  <si>
    <t>Costs &amp;</t>
  </si>
  <si>
    <t>Billings</t>
  </si>
  <si>
    <t>Estimated</t>
  </si>
  <si>
    <t>in Excess</t>
  </si>
  <si>
    <t>Earnings in</t>
  </si>
  <si>
    <t>of Costs &amp;</t>
  </si>
  <si>
    <t>Gross</t>
  </si>
  <si>
    <t>Costs</t>
  </si>
  <si>
    <t>Percent</t>
  </si>
  <si>
    <t>Revenue</t>
  </si>
  <si>
    <t>Billed to</t>
  </si>
  <si>
    <t>Costs to</t>
  </si>
  <si>
    <t>Excess of</t>
  </si>
  <si>
    <t>Cost of</t>
  </si>
  <si>
    <t>Profit</t>
  </si>
  <si>
    <t>Incurred</t>
  </si>
  <si>
    <t>Complete</t>
  </si>
  <si>
    <t>Earned</t>
  </si>
  <si>
    <t>Date</t>
  </si>
  <si>
    <t>Earnings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</si>
  <si>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</si>
  <si>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</si>
  <si>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</si>
  <si>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</si>
  <si>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</si>
  <si>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</si>
  <si>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</si>
  <si>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</si>
  <si>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</si>
  <si>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</si>
  <si>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</si>
  <si>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</si>
  <si>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</si>
  <si>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</si>
  <si>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</si>
  <si>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Billings in excess liability</t>
  </si>
  <si>
    <t>Relationship of costs and estimated earnings asset to the liability</t>
  </si>
  <si>
    <t>Trailing 2 months of revenue</t>
  </si>
  <si>
    <t>Billings in excess liability as % of trailing 2 months of revenue</t>
  </si>
  <si>
    <t>Net increase (decrease) in number of open projects</t>
  </si>
  <si>
    <t>Change in net percentage completion accounts</t>
  </si>
  <si>
    <t>Costs and estimated earnings asset</t>
  </si>
  <si>
    <t>Principal payments on short-term debt</t>
  </si>
  <si>
    <t>Principal payments on long-term debt</t>
  </si>
  <si>
    <t>ABC Construction Company</t>
  </si>
  <si>
    <t>Statement of Cash Flows</t>
  </si>
  <si>
    <t xml:space="preserve">  Depreciation and amortization</t>
  </si>
  <si>
    <t xml:space="preserve">  Decrease (increase) in accounts receivable</t>
  </si>
  <si>
    <t xml:space="preserve">  Decrease (increase) in inventory</t>
  </si>
  <si>
    <t>Net cash provided by operating activities</t>
  </si>
  <si>
    <t>tie in</t>
  </si>
  <si>
    <t>pre-tax tie in</t>
  </si>
  <si>
    <t>From Inception to June 30</t>
  </si>
  <si>
    <t>At June 30</t>
  </si>
  <si>
    <t>Gross margin input</t>
  </si>
  <si>
    <t>Pre-tax income</t>
  </si>
  <si>
    <t xml:space="preserve">  Decrease (increase) in other current assets</t>
  </si>
  <si>
    <t xml:space="preserve">  Decrease (increase) in costs and estimated earnings in excess of billings on uncompleted contracts</t>
  </si>
  <si>
    <t xml:space="preserve">  (Decrease) increase in accounts payable &amp; accrued liabilities</t>
  </si>
  <si>
    <t xml:space="preserve">  (Decrease) increase in short-term notes payable</t>
  </si>
  <si>
    <t xml:space="preserve">  (Decrease) increase in billings in excess of costs and estimated earnings on uncompleted contracts</t>
  </si>
  <si>
    <t xml:space="preserve">  Purchase of property and equipment</t>
  </si>
  <si>
    <t>Net cash provided (used) by investing activities</t>
  </si>
  <si>
    <t>Cash Flows - Financing Activities</t>
  </si>
  <si>
    <t>Cash Flows - Investing Activities</t>
  </si>
  <si>
    <t xml:space="preserve">  Payments on long-term debt</t>
  </si>
  <si>
    <t xml:space="preserve">  Distributions to owners</t>
  </si>
  <si>
    <t>Net cash provided (used) by financiang activities</t>
  </si>
  <si>
    <t>Increase (decrease) in cash</t>
  </si>
  <si>
    <t>Cash at beginning of year</t>
  </si>
  <si>
    <t>Cash at end of year</t>
  </si>
  <si>
    <t>Cash from BS</t>
  </si>
  <si>
    <t>Test</t>
  </si>
  <si>
    <t>Change in other assets</t>
  </si>
  <si>
    <t>Per the June 30 BS</t>
  </si>
  <si>
    <t>Net on the BS</t>
  </si>
  <si>
    <t>Distributions as % of pre-tax income</t>
  </si>
  <si>
    <t>YOY change</t>
  </si>
  <si>
    <t>As % of revenues</t>
  </si>
  <si>
    <t>Owner's investment</t>
  </si>
  <si>
    <t>Distributions to owners</t>
  </si>
  <si>
    <t>All other changes, net</t>
  </si>
  <si>
    <t>Summary Cash Flow</t>
  </si>
  <si>
    <t>DSO Graph</t>
  </si>
  <si>
    <t>cash</t>
  </si>
  <si>
    <t>Jun YTD</t>
  </si>
  <si>
    <t>This column and to the right are just  my notes</t>
  </si>
  <si>
    <t>Days Sales Outstanding (DSO)</t>
  </si>
  <si>
    <t>Days Inventory Outstanding (DIO)</t>
  </si>
  <si>
    <t>Billings in excess liability as percent of trailing two months of revenue</t>
  </si>
  <si>
    <t>Trailing two months of revenue</t>
  </si>
  <si>
    <t>Next Six Months</t>
  </si>
  <si>
    <r>
      <t xml:space="preserve">PHILIP CAMPBELL is a CPA and financial consultant based in Austin, TX. He has been working closely with CEOs and owners for more than 30 years. 
Philip has served as a financial officer in a number of growing companies with revenues ranging from $10 million to more than $1 billion. He has been involved in the acquisition or sale of 33 companies and an IPO on the New York Stock Exchange.
He is the author of the book </t>
    </r>
    <r>
      <rPr>
        <i/>
        <sz val="12"/>
        <rFont val="Calibri"/>
        <scheme val="minor"/>
      </rPr>
      <t>Never Run Out of Cash</t>
    </r>
    <r>
      <rPr>
        <sz val="12"/>
        <rFont val="Calibri"/>
        <scheme val="minor"/>
      </rPr>
      <t xml:space="preserve"> and the free report </t>
    </r>
    <r>
      <rPr>
        <i/>
        <sz val="12"/>
        <rFont val="Calibri"/>
        <scheme val="minor"/>
      </rPr>
      <t>A 3-Part Plan to Breathe Financial Life Back into Your Business.</t>
    </r>
    <r>
      <rPr>
        <sz val="12"/>
        <rFont val="Calibri"/>
        <scheme val="minor"/>
      </rPr>
      <t xml:space="preserve">
Phone: 512-944-3520 
E-Mail: pcampbell@pdq.net
Website: financialrhythm.com</t>
    </r>
  </si>
  <si>
    <t>Days Payable Outstanding (DPO)</t>
  </si>
  <si>
    <r>
      <t xml:space="preserve">This file contains the exhibits and financial model from "Walking Through the Financial Forecast" that was published in the January/February 2020 issue of </t>
    </r>
    <r>
      <rPr>
        <b/>
        <i/>
        <sz val="16"/>
        <rFont val="Calibri"/>
        <scheme val="minor"/>
      </rPr>
      <t xml:space="preserve">CFMA Building Profits. </t>
    </r>
    <r>
      <rPr>
        <b/>
        <sz val="16"/>
        <rFont val="Calibri"/>
        <scheme val="minor"/>
      </rPr>
      <t>It is meant to help you incorporate a similar process in your company. If you have any questions, comments, or suggestions, feel free to contact Philip Campbell at pcampbell@pdq.net or 512-944-3520.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</si>
</sst>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mm\-yy"/>
    <numFmt numFmtId="166" formatCode="0_);\(0\)"/>
    <numFmt numFmtId="167" formatCode="0.0%"/>
    <numFmt numFmtId="168" formatCode="0.0_);\(0.0\)"/>
    <numFmt numFmtId="169" formatCode="d\-mmm\-yy;@"/>
    <numFmt numFmtId="170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Book Antiqua"/>
      <family val="1"/>
    </font>
    <font>
      <sz val="10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u/>
      <sz val="10"/>
      <color theme="10"/>
      <name val="Arial"/>
    </font>
    <font>
      <sz val="12"/>
      <name val="Times New Roman"/>
      <family val="1"/>
    </font>
    <font>
      <u/>
      <sz val="10"/>
      <color theme="11"/>
      <name val="Arial"/>
    </font>
    <font>
      <sz val="12"/>
      <name val="Calibri"/>
      <scheme val="minor"/>
    </font>
    <font>
      <i/>
      <sz val="12"/>
      <name val="Calibri"/>
      <scheme val="minor"/>
    </font>
    <font>
      <b/>
      <sz val="16"/>
      <name val="Calibri"/>
      <scheme val="minor"/>
    </font>
    <font>
      <b/>
      <i/>
      <sz val="16"/>
      <name val="Calibri"/>
      <scheme val="minor"/>
    </font>
    <font>
      <b/>
      <sz val="14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" fillId="0" borderId="1" xfId="1" applyNumberFormat="1" applyBorder="1" applyProtection="1"/>
    <xf numFmtId="37" fontId="0" fillId="0" borderId="1" xfId="0" applyNumberFormat="1" applyBorder="1" applyProtection="1"/>
    <xf numFmtId="0" fontId="4" fillId="0" borderId="0" xfId="0" applyFont="1" applyAlignment="1"/>
    <xf numFmtId="37" fontId="0" fillId="0" borderId="0" xfId="0" applyNumberFormat="1" applyProtection="1"/>
    <xf numFmtId="0" fontId="0" fillId="0" borderId="1" xfId="0" applyBorder="1" applyAlignment="1" applyProtection="1">
      <alignment horizontal="left"/>
    </xf>
    <xf numFmtId="0" fontId="0" fillId="0" borderId="0" xfId="0" applyBorder="1"/>
    <xf numFmtId="37" fontId="0" fillId="0" borderId="0" xfId="0" applyNumberFormat="1" applyBorder="1" applyProtection="1"/>
    <xf numFmtId="37" fontId="0" fillId="0" borderId="1" xfId="0" applyNumberFormat="1" applyBorder="1" applyAlignment="1" applyProtection="1"/>
    <xf numFmtId="37" fontId="0" fillId="0" borderId="0" xfId="0" applyNumberFormat="1" applyAlignment="1" applyProtection="1"/>
    <xf numFmtId="37" fontId="0" fillId="0" borderId="0" xfId="0" applyNumberFormat="1" applyBorder="1" applyAlignment="1" applyProtection="1">
      <alignment horizontal="left"/>
    </xf>
    <xf numFmtId="37" fontId="0" fillId="0" borderId="0" xfId="0" applyNumberFormat="1" applyAlignment="1" applyProtection="1">
      <alignment horizontal="left"/>
    </xf>
    <xf numFmtId="0" fontId="0" fillId="0" borderId="1" xfId="0" applyBorder="1"/>
    <xf numFmtId="0" fontId="0" fillId="0" borderId="0" xfId="0" applyBorder="1" applyAlignment="1" applyProtection="1">
      <alignment horizontal="left"/>
    </xf>
    <xf numFmtId="164" fontId="2" fillId="0" borderId="2" xfId="1" applyNumberFormat="1" applyBorder="1" applyProtection="1"/>
    <xf numFmtId="164" fontId="2" fillId="0" borderId="0" xfId="1" applyNumberFormat="1" applyBorder="1" applyProtection="1"/>
    <xf numFmtId="164" fontId="2" fillId="0" borderId="0" xfId="1" applyNumberFormat="1"/>
    <xf numFmtId="164" fontId="0" fillId="0" borderId="1" xfId="1" applyNumberFormat="1" applyFont="1" applyBorder="1" applyProtection="1"/>
    <xf numFmtId="165" fontId="0" fillId="0" borderId="0" xfId="0" applyNumberFormat="1" applyAlignment="1">
      <alignment horizontal="left"/>
    </xf>
    <xf numFmtId="37" fontId="0" fillId="0" borderId="0" xfId="0" applyNumberFormat="1"/>
    <xf numFmtId="37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Fill="1" applyBorder="1"/>
    <xf numFmtId="10" fontId="5" fillId="0" borderId="0" xfId="2" applyNumberFormat="1" applyFont="1" applyBorder="1" applyAlignment="1" applyProtection="1">
      <alignment horizontal="center"/>
    </xf>
    <xf numFmtId="37" fontId="0" fillId="0" borderId="1" xfId="0" applyNumberFormat="1" applyFill="1" applyBorder="1"/>
    <xf numFmtId="0" fontId="6" fillId="0" borderId="0" xfId="0" applyFont="1"/>
    <xf numFmtId="42" fontId="0" fillId="0" borderId="1" xfId="0" applyNumberFormat="1" applyBorder="1" applyProtection="1"/>
    <xf numFmtId="42" fontId="0" fillId="0" borderId="0" xfId="0" applyNumberFormat="1"/>
    <xf numFmtId="42" fontId="0" fillId="0" borderId="2" xfId="0" applyNumberFormat="1" applyBorder="1"/>
    <xf numFmtId="9" fontId="0" fillId="0" borderId="0" xfId="2" applyFont="1"/>
    <xf numFmtId="167" fontId="0" fillId="0" borderId="0" xfId="2" applyNumberFormat="1" applyFont="1"/>
    <xf numFmtId="37" fontId="0" fillId="0" borderId="0" xfId="0" applyNumberFormat="1" applyBorder="1"/>
    <xf numFmtId="0" fontId="4" fillId="0" borderId="0" xfId="0" applyFont="1"/>
    <xf numFmtId="164" fontId="0" fillId="0" borderId="0" xfId="1" applyNumberFormat="1" applyFont="1" applyProtection="1"/>
    <xf numFmtId="0" fontId="7" fillId="0" borderId="0" xfId="0" applyFont="1"/>
    <xf numFmtId="42" fontId="0" fillId="0" borderId="0" xfId="0" applyNumberFormat="1" applyFill="1"/>
    <xf numFmtId="37" fontId="0" fillId="0" borderId="0" xfId="0" applyNumberFormat="1" applyFill="1"/>
    <xf numFmtId="0" fontId="0" fillId="0" borderId="0" xfId="0" applyBorder="1" applyAlignment="1" applyProtection="1">
      <alignment horizontal="center"/>
    </xf>
    <xf numFmtId="42" fontId="0" fillId="0" borderId="0" xfId="0" applyNumberFormat="1" applyBorder="1"/>
    <xf numFmtId="37" fontId="0" fillId="0" borderId="0" xfId="0" applyNumberFormat="1" applyFill="1" applyBorder="1"/>
    <xf numFmtId="37" fontId="0" fillId="0" borderId="0" xfId="0" applyNumberFormat="1" applyBorder="1" applyAlignment="1" applyProtection="1"/>
    <xf numFmtId="166" fontId="0" fillId="0" borderId="0" xfId="0" applyNumberFormat="1" applyBorder="1" applyAlignment="1" applyProtection="1"/>
    <xf numFmtId="167" fontId="0" fillId="0" borderId="0" xfId="2" applyNumberFormat="1" applyFont="1" applyAlignment="1" applyProtection="1"/>
    <xf numFmtId="0" fontId="4" fillId="0" borderId="0" xfId="0" applyFon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Border="1" applyAlignment="1" applyProtection="1">
      <alignment horizontal="center"/>
    </xf>
    <xf numFmtId="37" fontId="0" fillId="0" borderId="0" xfId="0" applyNumberFormat="1" applyBorder="1" applyAlignment="1" applyProtection="1">
      <alignment horizontal="right"/>
    </xf>
    <xf numFmtId="164" fontId="0" fillId="0" borderId="0" xfId="1" applyNumberFormat="1" applyFont="1" applyBorder="1" applyAlignment="1" applyProtection="1">
      <alignment horizontal="right"/>
    </xf>
    <xf numFmtId="14" fontId="0" fillId="0" borderId="1" xfId="0" applyNumberForma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/>
    <xf numFmtId="5" fontId="0" fillId="0" borderId="0" xfId="0" applyNumberFormat="1"/>
    <xf numFmtId="164" fontId="0" fillId="0" borderId="0" xfId="0" applyNumberFormat="1"/>
    <xf numFmtId="37" fontId="0" fillId="0" borderId="1" xfId="0" applyNumberFormat="1" applyFill="1" applyBorder="1" applyAlignment="1" applyProtection="1"/>
    <xf numFmtId="0" fontId="8" fillId="0" borderId="0" xfId="3" applyAlignment="1"/>
    <xf numFmtId="0" fontId="8" fillId="0" borderId="0" xfId="3" applyFont="1" applyFill="1" applyAlignment="1">
      <alignment wrapText="1"/>
    </xf>
    <xf numFmtId="0" fontId="8" fillId="0" borderId="0" xfId="3" applyFont="1" applyAlignment="1">
      <alignment wrapText="1"/>
    </xf>
    <xf numFmtId="0" fontId="8" fillId="0" borderId="0" xfId="3" applyAlignment="1">
      <alignment wrapText="1"/>
    </xf>
    <xf numFmtId="0" fontId="8" fillId="0" borderId="0" xfId="3" applyFont="1"/>
    <xf numFmtId="0" fontId="8" fillId="0" borderId="1" xfId="3" applyFont="1" applyBorder="1"/>
    <xf numFmtId="0" fontId="8" fillId="0" borderId="3" xfId="3" applyFont="1" applyBorder="1" applyAlignment="1">
      <alignment wrapText="1"/>
    </xf>
    <xf numFmtId="0" fontId="8" fillId="0" borderId="3" xfId="3" applyFont="1" applyFill="1" applyBorder="1" applyAlignment="1">
      <alignment wrapText="1"/>
    </xf>
    <xf numFmtId="0" fontId="8" fillId="0" borderId="0" xfId="3" applyFont="1" applyAlignment="1">
      <alignment horizontal="center"/>
    </xf>
    <xf numFmtId="0" fontId="8" fillId="0" borderId="0" xfId="3" applyFont="1" applyFill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8" fillId="0" borderId="1" xfId="3" applyFont="1" applyBorder="1" applyAlignment="1">
      <alignment horizontal="center"/>
    </xf>
    <xf numFmtId="41" fontId="8" fillId="0" borderId="0" xfId="3" applyNumberFormat="1" applyFont="1" applyFill="1" applyAlignment="1">
      <alignment wrapText="1"/>
    </xf>
    <xf numFmtId="167" fontId="8" fillId="0" borderId="0" xfId="4" applyNumberFormat="1" applyFont="1" applyFill="1" applyAlignment="1">
      <alignment horizontal="right"/>
    </xf>
    <xf numFmtId="170" fontId="8" fillId="0" borderId="0" xfId="3" applyNumberFormat="1" applyFont="1" applyFill="1" applyAlignment="1">
      <alignment horizontal="right"/>
    </xf>
    <xf numFmtId="41" fontId="8" fillId="0" borderId="0" xfId="3" applyNumberFormat="1" applyFont="1" applyFill="1" applyAlignment="1">
      <alignment horizontal="right"/>
    </xf>
    <xf numFmtId="41" fontId="8" fillId="0" borderId="0" xfId="3" applyNumberFormat="1" applyFont="1" applyAlignment="1">
      <alignment wrapText="1"/>
    </xf>
    <xf numFmtId="170" fontId="8" fillId="0" borderId="0" xfId="3" applyNumberFormat="1" applyFont="1" applyAlignment="1">
      <alignment horizontal="right"/>
    </xf>
    <xf numFmtId="41" fontId="8" fillId="0" borderId="0" xfId="3" applyNumberFormat="1" applyFont="1" applyFill="1"/>
    <xf numFmtId="41" fontId="8" fillId="0" borderId="0" xfId="3" applyNumberFormat="1" applyFont="1" applyAlignment="1">
      <alignment horizontal="right"/>
    </xf>
    <xf numFmtId="41" fontId="8" fillId="0" borderId="0" xfId="3" applyNumberFormat="1" applyFont="1"/>
    <xf numFmtId="41" fontId="8" fillId="0" borderId="0" xfId="3" applyNumberFormat="1" applyFill="1" applyAlignment="1">
      <alignment wrapText="1"/>
    </xf>
    <xf numFmtId="41" fontId="8" fillId="0" borderId="1" xfId="3" applyNumberFormat="1" applyFont="1" applyFill="1" applyBorder="1"/>
    <xf numFmtId="41" fontId="8" fillId="0" borderId="1" xfId="3" applyNumberFormat="1" applyFont="1" applyFill="1" applyBorder="1" applyAlignment="1">
      <alignment horizontal="left"/>
    </xf>
    <xf numFmtId="41" fontId="8" fillId="0" borderId="1" xfId="3" applyNumberFormat="1" applyFont="1" applyBorder="1"/>
    <xf numFmtId="41" fontId="8" fillId="0" borderId="3" xfId="3" applyNumberFormat="1" applyFont="1" applyFill="1" applyBorder="1" applyAlignment="1">
      <alignment wrapText="1"/>
    </xf>
    <xf numFmtId="41" fontId="8" fillId="0" borderId="3" xfId="3" applyNumberFormat="1" applyFont="1" applyBorder="1" applyAlignment="1">
      <alignment wrapText="1"/>
    </xf>
    <xf numFmtId="0" fontId="8" fillId="0" borderId="0" xfId="3" applyFill="1" applyAlignment="1">
      <alignment wrapText="1"/>
    </xf>
    <xf numFmtId="0" fontId="2" fillId="0" borderId="0" xfId="0" applyFont="1" applyBorder="1" applyAlignment="1" applyProtection="1">
      <alignment horizontal="left"/>
    </xf>
    <xf numFmtId="37" fontId="0" fillId="0" borderId="1" xfId="0" applyNumberFormat="1" applyFill="1" applyBorder="1" applyProtection="1"/>
    <xf numFmtId="37" fontId="2" fillId="0" borderId="0" xfId="0" applyNumberFormat="1" applyFont="1"/>
    <xf numFmtId="0" fontId="2" fillId="0" borderId="0" xfId="0" applyFont="1" applyAlignment="1">
      <alignment horizontal="center"/>
    </xf>
    <xf numFmtId="0" fontId="0" fillId="2" borderId="0" xfId="0" applyFill="1"/>
    <xf numFmtId="0" fontId="9" fillId="0" borderId="0" xfId="3" applyFont="1" applyAlignment="1"/>
    <xf numFmtId="167" fontId="8" fillId="0" borderId="0" xfId="2" applyNumberFormat="1" applyFont="1" applyAlignment="1">
      <alignment wrapText="1"/>
    </xf>
    <xf numFmtId="164" fontId="0" fillId="0" borderId="2" xfId="1" applyNumberFormat="1" applyFont="1" applyBorder="1"/>
    <xf numFmtId="0" fontId="2" fillId="0" borderId="1" xfId="0" applyFont="1" applyBorder="1" applyAlignment="1" applyProtection="1">
      <alignment horizontal="center"/>
    </xf>
    <xf numFmtId="0" fontId="8" fillId="0" borderId="0" xfId="3" applyFont="1" applyAlignment="1">
      <alignment wrapText="1"/>
    </xf>
    <xf numFmtId="0" fontId="2" fillId="2" borderId="0" xfId="0" applyFont="1" applyFill="1"/>
    <xf numFmtId="0" fontId="6" fillId="2" borderId="0" xfId="0" applyFont="1" applyFill="1"/>
    <xf numFmtId="0" fontId="0" fillId="2" borderId="0" xfId="0" applyFill="1" applyBorder="1" applyAlignment="1" applyProtection="1">
      <alignment horizontal="center"/>
    </xf>
    <xf numFmtId="37" fontId="0" fillId="2" borderId="0" xfId="0" applyNumberFormat="1" applyFill="1" applyBorder="1" applyAlignment="1" applyProtection="1">
      <alignment horizontal="right"/>
    </xf>
    <xf numFmtId="167" fontId="0" fillId="2" borderId="0" xfId="2" applyNumberFormat="1" applyFont="1" applyFill="1" applyBorder="1" applyAlignment="1" applyProtection="1">
      <alignment horizontal="right"/>
    </xf>
    <xf numFmtId="167" fontId="0" fillId="2" borderId="0" xfId="2" applyNumberFormat="1" applyFont="1" applyFill="1"/>
    <xf numFmtId="168" fontId="0" fillId="2" borderId="0" xfId="0" applyNumberFormat="1" applyFill="1" applyBorder="1" applyAlignment="1" applyProtection="1">
      <alignment horizontal="right"/>
    </xf>
    <xf numFmtId="164" fontId="0" fillId="2" borderId="0" xfId="1" applyNumberFormat="1" applyFont="1" applyFill="1" applyBorder="1" applyAlignment="1" applyProtection="1">
      <alignment horizontal="right"/>
    </xf>
    <xf numFmtId="37" fontId="0" fillId="2" borderId="0" xfId="0" applyNumberFormat="1" applyFill="1" applyBorder="1" applyAlignment="1" applyProtection="1"/>
    <xf numFmtId="164" fontId="0" fillId="2" borderId="0" xfId="1" applyNumberFormat="1" applyFont="1" applyFill="1"/>
    <xf numFmtId="0" fontId="0" fillId="0" borderId="0" xfId="0" applyFill="1"/>
    <xf numFmtId="9" fontId="8" fillId="0" borderId="0" xfId="4" applyNumberFormat="1" applyFont="1" applyFill="1" applyAlignment="1">
      <alignment horizontal="right"/>
    </xf>
    <xf numFmtId="170" fontId="8" fillId="0" borderId="0" xfId="3" applyNumberFormat="1" applyAlignment="1">
      <alignment wrapText="1"/>
    </xf>
    <xf numFmtId="170" fontId="8" fillId="0" borderId="0" xfId="3" applyNumberFormat="1" applyFont="1" applyFill="1" applyAlignment="1">
      <alignment wrapText="1"/>
    </xf>
    <xf numFmtId="37" fontId="0" fillId="2" borderId="0" xfId="0" applyNumberFormat="1" applyFill="1"/>
    <xf numFmtId="167" fontId="0" fillId="0" borderId="0" xfId="2" applyNumberFormat="1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3" applyFont="1" applyAlignment="1">
      <alignment wrapText="1"/>
    </xf>
    <xf numFmtId="0" fontId="8" fillId="0" borderId="1" xfId="3" applyFont="1" applyFill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8" fillId="0" borderId="0" xfId="3" applyFont="1" applyAlignment="1"/>
    <xf numFmtId="0" fontId="10" fillId="0" borderId="0" xfId="5"/>
    <xf numFmtId="167" fontId="0" fillId="2" borderId="0" xfId="4" applyNumberFormat="1" applyFont="1" applyFill="1" applyBorder="1" applyAlignment="1" applyProtection="1">
      <alignment horizontal="right"/>
    </xf>
    <xf numFmtId="164" fontId="0" fillId="0" borderId="0" xfId="9" applyNumberFormat="1" applyFont="1"/>
    <xf numFmtId="167" fontId="0" fillId="2" borderId="0" xfId="4" applyNumberFormat="1" applyFont="1" applyFill="1"/>
    <xf numFmtId="0" fontId="0" fillId="2" borderId="0" xfId="0" applyFont="1" applyFill="1"/>
    <xf numFmtId="164" fontId="0" fillId="0" borderId="0" xfId="9" applyNumberFormat="1" applyFont="1" applyBorder="1" applyAlignment="1" applyProtection="1">
      <alignment horizontal="center"/>
    </xf>
    <xf numFmtId="164" fontId="0" fillId="2" borderId="0" xfId="9" applyNumberFormat="1" applyFont="1" applyFill="1" applyBorder="1" applyAlignment="1" applyProtection="1">
      <alignment horizontal="right"/>
    </xf>
    <xf numFmtId="164" fontId="0" fillId="2" borderId="0" xfId="9" applyNumberFormat="1" applyFont="1" applyFill="1"/>
    <xf numFmtId="0" fontId="0" fillId="0" borderId="0" xfId="0" applyFont="1"/>
    <xf numFmtId="0" fontId="0" fillId="0" borderId="0" xfId="0" applyAlignment="1">
      <alignment wrapText="1"/>
    </xf>
    <xf numFmtId="0" fontId="10" fillId="0" borderId="0" xfId="5" applyAlignment="1">
      <alignment wrapText="1"/>
    </xf>
    <xf numFmtId="0" fontId="11" fillId="0" borderId="0" xfId="0" applyFont="1" applyAlignment="1">
      <alignment vertical="center" wrapText="1"/>
    </xf>
    <xf numFmtId="164" fontId="8" fillId="0" borderId="0" xfId="1" applyNumberFormat="1" applyFont="1" applyFill="1" applyAlignment="1">
      <alignment wrapText="1"/>
    </xf>
    <xf numFmtId="164" fontId="8" fillId="0" borderId="0" xfId="1" applyNumberFormat="1" applyFont="1" applyFill="1"/>
    <xf numFmtId="164" fontId="8" fillId="0" borderId="0" xfId="1" applyNumberFormat="1" applyFont="1" applyFill="1" applyAlignment="1">
      <alignment horizontal="right"/>
    </xf>
    <xf numFmtId="164" fontId="8" fillId="0" borderId="0" xfId="1" applyNumberFormat="1" applyFont="1" applyAlignment="1">
      <alignment wrapText="1"/>
    </xf>
    <xf numFmtId="164" fontId="8" fillId="0" borderId="0" xfId="1" applyNumberFormat="1" applyFont="1" applyAlignment="1">
      <alignment horizontal="right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7" fillId="0" borderId="0" xfId="3" applyFont="1"/>
    <xf numFmtId="0" fontId="3" fillId="0" borderId="0" xfId="0" applyFont="1"/>
    <xf numFmtId="0" fontId="8" fillId="0" borderId="0" xfId="3" applyFont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8" fillId="0" borderId="1" xfId="3" applyFont="1" applyBorder="1" applyAlignment="1">
      <alignment horizontal="center"/>
    </xf>
    <xf numFmtId="169" fontId="8" fillId="0" borderId="1" xfId="3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3" applyFont="1" applyAlignment="1">
      <alignment wrapText="1"/>
    </xf>
  </cellXfs>
  <cellStyles count="19">
    <cellStyle name="Currency" xfId="1" builtinId="4"/>
    <cellStyle name="Currency 2" xfId="9" xr:uid="{00000000-0005-0000-0000-000001000000}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Hyperlink" xfId="5" builtinId="8"/>
    <cellStyle name="Normal" xfId="0" builtinId="0"/>
    <cellStyle name="Normal 2" xfId="3" xr:uid="{00000000-0005-0000-0000-000010000000}"/>
    <cellStyle name="Percent" xfId="2" builtinId="5"/>
    <cellStyle name="Percent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DSO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'Assumptions Summary'!$W$6:$AB$7</c:f>
              <c:multiLvlStrCache>
                <c:ptCount val="6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</c:lvl>
                <c:lvl>
                  <c:pt idx="0">
                    <c:v>Forecast</c:v>
                  </c:pt>
                  <c:pt idx="1">
                    <c:v>Forecast</c:v>
                  </c:pt>
                  <c:pt idx="2">
                    <c:v>Forecast</c:v>
                  </c:pt>
                  <c:pt idx="3">
                    <c:v>Forecast</c:v>
                  </c:pt>
                  <c:pt idx="4">
                    <c:v>Forecast</c:v>
                  </c:pt>
                  <c:pt idx="5">
                    <c:v>Forecast</c:v>
                  </c:pt>
                </c:lvl>
              </c:multiLvlStrCache>
            </c:multiLvlStrRef>
          </c:cat>
          <c:val>
            <c:numRef>
              <c:f>'Assumptions Summary'!$W$20:$AB$20</c:f>
              <c:numCache>
                <c:formatCode>0.0_);\(0.0\)</c:formatCode>
                <c:ptCount val="6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50</c:v>
                </c:pt>
                <c:pt idx="4">
                  <c:v>50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6-4503-BAB3-CEC6EEC2D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60490680"/>
        <c:axId val="-2060487160"/>
      </c:barChart>
      <c:catAx>
        <c:axId val="-206049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0487160"/>
        <c:crosses val="autoZero"/>
        <c:auto val="1"/>
        <c:lblAlgn val="ctr"/>
        <c:lblOffset val="100"/>
        <c:noMultiLvlLbl val="0"/>
      </c:catAx>
      <c:valAx>
        <c:axId val="-206048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0490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250824</xdr:colOff>
      <xdr:row>7</xdr:row>
      <xdr:rowOff>3174</xdr:rowOff>
    </xdr:from>
    <xdr:to>
      <xdr:col>10</xdr:col>
      <xdr:colOff>241299</xdr:colOff>
      <xdr:row>31</xdr:row>
      <xdr:rowOff>82549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Profits/Profits%20Nov:Dec%2015/Campbell%20Forecasting%20Part%202/Construction%20Company%20example%20financials%20and%20sched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S Actual &amp; Forecast"/>
      <sheetName val="BS Actual &amp; Forecast"/>
      <sheetName val="GAAP CF Act &amp; Forecast"/>
      <sheetName val="Summary Cash Flow"/>
      <sheetName val="CIP Schedule"/>
      <sheetName val="Assumptions Summary"/>
      <sheetName val="POM Actual &amp; Forecast"/>
      <sheetName val="Driver and Assumption Chart"/>
      <sheetName val="Benefits &amp; Downsides"/>
      <sheetName val="DSO Graph"/>
      <sheetName val="IS Actuals"/>
      <sheetName val="BS Actuals"/>
      <sheetName val="GAAP CF Actuals"/>
      <sheetName val="POM Actuals"/>
      <sheetName val="IS for importing to SW"/>
      <sheetName val="BS for importing to SW"/>
      <sheetName val="Assumptions OLD"/>
      <sheetName val="Note amort OLD"/>
      <sheetName val="IS-CY OLD"/>
      <sheetName val="BS-CY OLD"/>
      <sheetName val="POM-CY OLD"/>
      <sheetName val="Exhibit 1"/>
      <sheetName val="Income Stmt."/>
      <sheetName val="Balance Sheet"/>
      <sheetName val="POM - CY 9 Month"/>
      <sheetName val="POM - CY 12 month"/>
      <sheetName val="POM - NY"/>
      <sheetName val="Tie In"/>
    </sheetNames>
    <sheetDataSet>
      <sheetData sheetId="0" refreshError="1"/>
      <sheetData sheetId="1" refreshError="1">
        <row r="9">
          <cell r="C9">
            <v>15</v>
          </cell>
          <cell r="Q9">
            <v>15</v>
          </cell>
          <cell r="R9">
            <v>13</v>
          </cell>
          <cell r="S9">
            <v>16</v>
          </cell>
          <cell r="T9">
            <v>18</v>
          </cell>
          <cell r="U9">
            <v>17</v>
          </cell>
          <cell r="V9">
            <v>15</v>
          </cell>
        </row>
        <row r="10">
          <cell r="C10">
            <v>129550.39999999999</v>
          </cell>
          <cell r="D10">
            <v>133598.85</v>
          </cell>
          <cell r="E10">
            <v>155738.08800000002</v>
          </cell>
          <cell r="F10">
            <v>115180.660384</v>
          </cell>
          <cell r="G10">
            <v>132477.04717632002</v>
          </cell>
          <cell r="H10">
            <v>128580.66343584005</v>
          </cell>
          <cell r="Q10">
            <v>142591.66972823208</v>
          </cell>
          <cell r="R10">
            <v>196529.30846153849</v>
          </cell>
          <cell r="S10">
            <v>138358.47953317518</v>
          </cell>
          <cell r="T10">
            <v>108227.07732372814</v>
          </cell>
          <cell r="U10">
            <v>108863.70719033829</v>
          </cell>
          <cell r="V10">
            <v>102081.14488983572</v>
          </cell>
        </row>
        <row r="13">
          <cell r="M13">
            <v>1796779.6332385931</v>
          </cell>
          <cell r="N13">
            <v>1486618.6149005201</v>
          </cell>
          <cell r="Q13">
            <v>2138875.0459234812</v>
          </cell>
          <cell r="R13">
            <v>2554881.0100000002</v>
          </cell>
          <cell r="S13">
            <v>2213735.6725308029</v>
          </cell>
          <cell r="T13">
            <v>1948087.3918271065</v>
          </cell>
          <cell r="U13">
            <v>1850683.0222357509</v>
          </cell>
          <cell r="V13">
            <v>1531217.1733475358</v>
          </cell>
        </row>
        <row r="18">
          <cell r="M18">
            <v>1520075.5697198496</v>
          </cell>
          <cell r="N18">
            <v>1250246.2551313373</v>
          </cell>
          <cell r="Q18">
            <v>1837293.6644482703</v>
          </cell>
          <cell r="R18">
            <v>2143545.1673900001</v>
          </cell>
          <cell r="S18">
            <v>1861751.7005984052</v>
          </cell>
          <cell r="T18">
            <v>1698732.2056732369</v>
          </cell>
          <cell r="U18">
            <v>1567528.5198336809</v>
          </cell>
          <cell r="V18">
            <v>1303065.814518753</v>
          </cell>
        </row>
        <row r="21">
          <cell r="Q21">
            <v>0.14100000000000001</v>
          </cell>
          <cell r="R21">
            <v>0.16100000000000006</v>
          </cell>
          <cell r="S21">
            <v>0.159</v>
          </cell>
          <cell r="T21">
            <v>0.128</v>
          </cell>
          <cell r="U21">
            <v>0.15300000000000005</v>
          </cell>
          <cell r="V21">
            <v>0.14899999999999999</v>
          </cell>
        </row>
        <row r="24">
          <cell r="M24">
            <v>14800</v>
          </cell>
          <cell r="N24">
            <v>14800</v>
          </cell>
          <cell r="Q24">
            <v>15635</v>
          </cell>
          <cell r="R24">
            <v>15116.4</v>
          </cell>
          <cell r="S24">
            <v>14464.8</v>
          </cell>
          <cell r="T24">
            <v>16278.42</v>
          </cell>
          <cell r="U24">
            <v>18722.908925043095</v>
          </cell>
          <cell r="V24">
            <v>15688</v>
          </cell>
        </row>
        <row r="25">
          <cell r="M25">
            <v>4926.3925524455981</v>
          </cell>
          <cell r="N25">
            <v>4075.9961529463794</v>
          </cell>
          <cell r="Q25">
            <v>5647.68</v>
          </cell>
          <cell r="R25">
            <v>5604.39</v>
          </cell>
          <cell r="S25">
            <v>6276.9168</v>
          </cell>
          <cell r="T25">
            <v>5021.2389312384139</v>
          </cell>
          <cell r="U25">
            <v>5775.265609344</v>
          </cell>
          <cell r="V25">
            <v>5605.4048561280015</v>
          </cell>
        </row>
        <row r="26">
          <cell r="M26">
            <v>11539.297870593295</v>
          </cell>
          <cell r="N26">
            <v>9547.3783762708008</v>
          </cell>
          <cell r="Q26">
            <v>13228.800000000001</v>
          </cell>
          <cell r="R26">
            <v>13127.4</v>
          </cell>
          <cell r="S26">
            <v>14702.688</v>
          </cell>
          <cell r="T26">
            <v>11761.460559657547</v>
          </cell>
          <cell r="U26">
            <v>13420</v>
          </cell>
          <cell r="V26">
            <v>13129.777140480002</v>
          </cell>
        </row>
        <row r="27">
          <cell r="M27">
            <v>0</v>
          </cell>
          <cell r="N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M28">
            <v>3276.864715815916</v>
          </cell>
          <cell r="N28">
            <v>2711.2106542871566</v>
          </cell>
          <cell r="Q28">
            <v>3756.6400000000003</v>
          </cell>
          <cell r="R28">
            <v>3727.8450000000003</v>
          </cell>
          <cell r="S28">
            <v>4175.1863999999996</v>
          </cell>
          <cell r="T28">
            <v>3339.9532230309574</v>
          </cell>
          <cell r="U28">
            <v>3370</v>
          </cell>
          <cell r="V28">
            <v>3728.520046944001</v>
          </cell>
        </row>
        <row r="29">
          <cell r="M29">
            <v>2637.9500660899571</v>
          </cell>
          <cell r="N29">
            <v>2182.5857778445984</v>
          </cell>
          <cell r="Q29">
            <v>3024.1800000000003</v>
          </cell>
          <cell r="R29">
            <v>3000.9993749999999</v>
          </cell>
          <cell r="S29">
            <v>3361.1192999999998</v>
          </cell>
          <cell r="T29">
            <v>2688.737738517867</v>
          </cell>
          <cell r="U29">
            <v>3092.4986455439998</v>
          </cell>
          <cell r="V29">
            <v>3001.5428030280004</v>
          </cell>
        </row>
        <row r="30">
          <cell r="M30">
            <v>0</v>
          </cell>
          <cell r="N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M31">
            <v>4160.8045206466195</v>
          </cell>
          <cell r="N31">
            <v>3442.564318366874</v>
          </cell>
          <cell r="Q31">
            <v>4770</v>
          </cell>
          <cell r="R31">
            <v>4733.4375</v>
          </cell>
          <cell r="S31">
            <v>5301.45</v>
          </cell>
          <cell r="T31">
            <v>4240.9112594919043</v>
          </cell>
          <cell r="U31">
            <v>4689</v>
          </cell>
          <cell r="V31">
            <v>4734.2946420000017</v>
          </cell>
        </row>
        <row r="32">
          <cell r="M32">
            <v>2755.3772158948727</v>
          </cell>
          <cell r="N32">
            <v>2279.7425930518411</v>
          </cell>
          <cell r="Q32">
            <v>3158.8</v>
          </cell>
          <cell r="R32">
            <v>3134.5875000000001</v>
          </cell>
          <cell r="S32">
            <v>3510.7379999999998</v>
          </cell>
          <cell r="T32">
            <v>2808.425678507972</v>
          </cell>
          <cell r="U32">
            <v>3230.15981904</v>
          </cell>
          <cell r="V32">
            <v>3135.155118480001</v>
          </cell>
        </row>
        <row r="33">
          <cell r="M33">
            <v>5475</v>
          </cell>
          <cell r="N33">
            <v>10350</v>
          </cell>
          <cell r="Q33">
            <v>5850</v>
          </cell>
          <cell r="R33">
            <v>5850</v>
          </cell>
          <cell r="S33">
            <v>5850</v>
          </cell>
          <cell r="T33">
            <v>5850</v>
          </cell>
          <cell r="U33">
            <v>5850</v>
          </cell>
          <cell r="V33">
            <v>5850</v>
          </cell>
        </row>
        <row r="34">
          <cell r="M34">
            <v>0</v>
          </cell>
          <cell r="N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M35">
            <v>5081.7292545497394</v>
          </cell>
          <cell r="N35">
            <v>4204.51855416541</v>
          </cell>
          <cell r="Q35">
            <v>5825.76</v>
          </cell>
          <cell r="R35">
            <v>5781.1050000000005</v>
          </cell>
          <cell r="S35">
            <v>6474.8375999999998</v>
          </cell>
          <cell r="T35">
            <v>5179.5662849261125</v>
          </cell>
          <cell r="U35">
            <v>5957.3685790079999</v>
          </cell>
          <cell r="V35">
            <v>5782.1518560960012</v>
          </cell>
        </row>
      </sheetData>
      <sheetData sheetId="2" refreshError="1">
        <row r="10">
          <cell r="W10">
            <v>1254187.6961169946</v>
          </cell>
        </row>
        <row r="11">
          <cell r="Q11">
            <v>2850865.4409629945</v>
          </cell>
          <cell r="R11">
            <v>2927511.8712629946</v>
          </cell>
          <cell r="S11">
            <v>2971786.5847136108</v>
          </cell>
          <cell r="T11">
            <v>3010748.3325501531</v>
          </cell>
          <cell r="U11">
            <v>2955227.8418830805</v>
          </cell>
          <cell r="V11">
            <v>2709291.0152306166</v>
          </cell>
        </row>
        <row r="12">
          <cell r="Q12">
            <v>243163.33758257888</v>
          </cell>
          <cell r="R12">
            <v>178856.98256087885</v>
          </cell>
          <cell r="S12">
            <v>141621.94854891067</v>
          </cell>
          <cell r="T12">
            <v>107647.30443544593</v>
          </cell>
          <cell r="U12">
            <v>154673.16003045649</v>
          </cell>
          <cell r="V12">
            <v>193765.13446601923</v>
          </cell>
        </row>
        <row r="13">
          <cell r="Q13">
            <v>207967.59006279535</v>
          </cell>
          <cell r="R13">
            <v>318636.0576319258</v>
          </cell>
          <cell r="S13">
            <v>336610.39934449596</v>
          </cell>
          <cell r="T13">
            <v>255487.29310247244</v>
          </cell>
          <cell r="U13">
            <v>250377.54724042301</v>
          </cell>
          <cell r="V13">
            <v>223442.99291607447</v>
          </cell>
        </row>
        <row r="31">
          <cell r="Q31">
            <v>1341438.3738253806</v>
          </cell>
          <cell r="R31">
            <v>1610436.3738253806</v>
          </cell>
          <cell r="S31">
            <v>1777769.3738253806</v>
          </cell>
          <cell r="T31">
            <v>1622103.5751470202</v>
          </cell>
          <cell r="U31">
            <v>1496818.396493176</v>
          </cell>
          <cell r="V31">
            <v>1244285.4202231565</v>
          </cell>
        </row>
        <row r="33">
          <cell r="Q33">
            <v>742741.39308141195</v>
          </cell>
          <cell r="R33">
            <v>817015.53238955326</v>
          </cell>
          <cell r="S33">
            <v>841525.99836123991</v>
          </cell>
          <cell r="T33">
            <v>774203.91849234072</v>
          </cell>
          <cell r="U33">
            <v>758719.84012249392</v>
          </cell>
          <cell r="V33">
            <v>720783.84811636922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43">
          <cell r="C43">
            <v>-10000</v>
          </cell>
          <cell r="Q43">
            <v>-10000</v>
          </cell>
          <cell r="R43">
            <v>-10000</v>
          </cell>
          <cell r="S43">
            <v>-10000</v>
          </cell>
          <cell r="T43">
            <v>-10000</v>
          </cell>
          <cell r="U43">
            <v>-10000</v>
          </cell>
          <cell r="V43">
            <v>-10000</v>
          </cell>
        </row>
        <row r="44">
          <cell r="Q44">
            <v>-5000</v>
          </cell>
          <cell r="R44">
            <v>-5000</v>
          </cell>
          <cell r="S44">
            <v>-5000</v>
          </cell>
          <cell r="T44">
            <v>-5000</v>
          </cell>
          <cell r="U44">
            <v>-5000</v>
          </cell>
          <cell r="V44">
            <v>-5000</v>
          </cell>
        </row>
        <row r="51">
          <cell r="Q51">
            <v>-11250</v>
          </cell>
          <cell r="R51">
            <v>0</v>
          </cell>
          <cell r="S51">
            <v>-18752</v>
          </cell>
          <cell r="T51">
            <v>0</v>
          </cell>
          <cell r="U51">
            <v>0</v>
          </cell>
          <cell r="V51">
            <v>0</v>
          </cell>
        </row>
        <row r="64">
          <cell r="Q64">
            <v>-100000</v>
          </cell>
          <cell r="R64">
            <v>-100000</v>
          </cell>
          <cell r="S64">
            <v>-100000</v>
          </cell>
          <cell r="T64">
            <v>-100000</v>
          </cell>
          <cell r="U64">
            <v>-100000</v>
          </cell>
          <cell r="V64">
            <v>-100000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>
        <row r="10">
          <cell r="C10">
            <v>1143470.5249999999</v>
          </cell>
          <cell r="Q10">
            <v>975031.52508366399</v>
          </cell>
          <cell r="R10">
            <v>1323411.724154375</v>
          </cell>
          <cell r="S10">
            <v>1523479.6571072412</v>
          </cell>
          <cell r="T10">
            <v>1335275.4985574265</v>
          </cell>
          <cell r="U10">
            <v>1176083.0876323741</v>
          </cell>
          <cell r="V10">
            <v>1051408.8432631069</v>
          </cell>
        </row>
      </sheetData>
      <sheetData sheetId="13" refreshError="1"/>
      <sheetData sheetId="14" refreshError="1"/>
      <sheetData sheetId="15" refreshError="1">
        <row r="13">
          <cell r="C13">
            <v>1943256</v>
          </cell>
        </row>
        <row r="18">
          <cell r="M18">
            <v>1520075.5697198496</v>
          </cell>
          <cell r="N18">
            <v>1250246.2551313373</v>
          </cell>
          <cell r="Q18">
            <v>1837293.6644482703</v>
          </cell>
          <cell r="R18">
            <v>2143545.1673900001</v>
          </cell>
          <cell r="S18">
            <v>1861751.7005984052</v>
          </cell>
          <cell r="T18">
            <v>1698732.2056732369</v>
          </cell>
          <cell r="U18">
            <v>1567528.5198336809</v>
          </cell>
          <cell r="V18">
            <v>1303065.814518753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125" zoomScaleNormal="125" zoomScalePageLayoutView="125" workbookViewId="0"/>
  </sheetViews>
  <sheetFormatPr baseColWidth="10" defaultColWidth="8.83203125" defaultRowHeight="13" x14ac:dyDescent="0.15"/>
  <cols>
    <col min="1" max="1" width="88.1640625" style="126" customWidth="1"/>
  </cols>
  <sheetData>
    <row r="1" spans="1:5" ht="132" x14ac:dyDescent="0.25">
      <c r="A1" s="135" t="s">
        <v>222</v>
      </c>
    </row>
    <row r="3" spans="1:5" ht="221" x14ac:dyDescent="0.2">
      <c r="A3" s="134" t="s">
        <v>220</v>
      </c>
    </row>
    <row r="4" spans="1:5" x14ac:dyDescent="0.15">
      <c r="A4" s="127"/>
    </row>
    <row r="8" spans="1:5" x14ac:dyDescent="0.15">
      <c r="C8" s="54"/>
    </row>
    <row r="9" spans="1:5" x14ac:dyDescent="0.15">
      <c r="C9" s="54"/>
    </row>
    <row r="10" spans="1:5" x14ac:dyDescent="0.15">
      <c r="C10" s="54"/>
    </row>
    <row r="11" spans="1:5" x14ac:dyDescent="0.15">
      <c r="C11" s="54"/>
    </row>
    <row r="13" spans="1:5" x14ac:dyDescent="0.15">
      <c r="C13" s="54"/>
    </row>
    <row r="14" spans="1:5" x14ac:dyDescent="0.15">
      <c r="C14" s="54"/>
      <c r="E14" s="117"/>
    </row>
    <row r="16" spans="1:5" x14ac:dyDescent="0.15">
      <c r="C16" s="54"/>
    </row>
    <row r="24" spans="1:1" ht="16" x14ac:dyDescent="0.15">
      <c r="A24" s="128"/>
    </row>
  </sheetData>
  <pageMargins left="0.7" right="0.7" top="0.75" bottom="0.75" header="0.3" footer="0.3"/>
  <pageSetup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Q50"/>
  <sheetViews>
    <sheetView workbookViewId="0">
      <pane xSplit="2" ySplit="7" topLeftCell="AD32" activePane="bottomRight" state="frozen"/>
      <selection activeCell="AA48" sqref="AA48"/>
      <selection pane="topRight" activeCell="AA48" sqref="AA48"/>
      <selection pane="bottomLeft" activeCell="AA48" sqref="AA48"/>
      <selection pane="bottomRight" activeCell="AY57" sqref="AY57"/>
    </sheetView>
  </sheetViews>
  <sheetFormatPr baseColWidth="10" defaultColWidth="8.83203125" defaultRowHeight="13" outlineLevelCol="1" x14ac:dyDescent="0.15"/>
  <cols>
    <col min="1" max="1" width="26" customWidth="1"/>
    <col min="2" max="2" width="8.5" customWidth="1"/>
    <col min="3" max="4" width="12.33203125" customWidth="1" outlineLevel="1"/>
    <col min="5" max="7" width="11.1640625" customWidth="1" outlineLevel="1"/>
    <col min="8" max="8" width="11.5" customWidth="1" outlineLevel="1"/>
    <col min="9" max="14" width="11.1640625" customWidth="1" outlineLevel="1"/>
    <col min="15" max="15" width="12.1640625" bestFit="1" customWidth="1"/>
    <col min="16" max="16" width="2.83203125" customWidth="1"/>
    <col min="17" max="21" width="11.1640625" customWidth="1" outlineLevel="1"/>
    <col min="22" max="22" width="11.6640625" customWidth="1" outlineLevel="1"/>
    <col min="23" max="23" width="11.1640625" customWidth="1" outlineLevel="1"/>
    <col min="24" max="24" width="11.5" customWidth="1" outlineLevel="1"/>
    <col min="25" max="26" width="11.33203125" customWidth="1" outlineLevel="1"/>
    <col min="27" max="27" width="12" customWidth="1" outlineLevel="1"/>
    <col min="28" max="28" width="12.33203125" customWidth="1" outlineLevel="1"/>
    <col min="29" max="29" width="12.1640625" customWidth="1"/>
    <col min="30" max="30" width="3" customWidth="1"/>
    <col min="31" max="35" width="11.1640625" customWidth="1" outlineLevel="1"/>
    <col min="36" max="36" width="12.1640625" customWidth="1" outlineLevel="1"/>
    <col min="37" max="42" width="11.1640625" customWidth="1" outlineLevel="1"/>
    <col min="43" max="43" width="13" customWidth="1"/>
  </cols>
  <sheetData>
    <row r="1" spans="1:43" x14ac:dyDescent="0.15">
      <c r="A1" s="1" t="s">
        <v>172</v>
      </c>
    </row>
    <row r="2" spans="1:43" ht="20" x14ac:dyDescent="0.2">
      <c r="A2" s="2" t="s">
        <v>79</v>
      </c>
      <c r="H2" s="38" t="s">
        <v>82</v>
      </c>
      <c r="V2" s="38" t="s">
        <v>84</v>
      </c>
      <c r="AJ2" s="38" t="s">
        <v>90</v>
      </c>
    </row>
    <row r="3" spans="1:43" x14ac:dyDescent="0.15">
      <c r="A3" s="1"/>
    </row>
    <row r="4" spans="1:43" ht="14" x14ac:dyDescent="0.2">
      <c r="A4" s="1"/>
      <c r="C4" s="27" t="s">
        <v>51</v>
      </c>
      <c r="D4" s="27" t="s">
        <v>51</v>
      </c>
      <c r="E4" s="27" t="s">
        <v>51</v>
      </c>
      <c r="F4" s="27" t="s">
        <v>51</v>
      </c>
      <c r="G4" s="27" t="s">
        <v>51</v>
      </c>
      <c r="H4" s="27" t="s">
        <v>51</v>
      </c>
      <c r="I4" s="27" t="s">
        <v>51</v>
      </c>
      <c r="J4" s="27" t="s">
        <v>51</v>
      </c>
      <c r="K4" s="27" t="s">
        <v>51</v>
      </c>
      <c r="L4" s="27" t="s">
        <v>51</v>
      </c>
      <c r="M4" s="27" t="s">
        <v>51</v>
      </c>
      <c r="N4" s="27" t="s">
        <v>51</v>
      </c>
      <c r="Q4" s="54"/>
    </row>
    <row r="5" spans="1:43" ht="14" x14ac:dyDescent="0.2">
      <c r="C5" s="27"/>
      <c r="D5" s="27"/>
      <c r="E5" s="27"/>
      <c r="F5" s="27"/>
      <c r="G5" s="27"/>
      <c r="H5" s="27"/>
      <c r="I5" s="27"/>
    </row>
    <row r="6" spans="1:43" x14ac:dyDescent="0.15">
      <c r="A6" s="3"/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  <c r="W6" s="47" t="s">
        <v>99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 t="s">
        <v>99</v>
      </c>
      <c r="AD6" s="36"/>
      <c r="AE6" s="47" t="s">
        <v>99</v>
      </c>
      <c r="AF6" s="47" t="s">
        <v>99</v>
      </c>
      <c r="AG6" s="47" t="s">
        <v>99</v>
      </c>
      <c r="AH6" s="47" t="s">
        <v>99</v>
      </c>
      <c r="AI6" s="47" t="s">
        <v>99</v>
      </c>
      <c r="AJ6" s="47" t="s">
        <v>99</v>
      </c>
      <c r="AK6" s="47" t="s">
        <v>99</v>
      </c>
      <c r="AL6" s="47" t="s">
        <v>99</v>
      </c>
      <c r="AM6" s="47" t="s">
        <v>99</v>
      </c>
      <c r="AN6" s="47" t="s">
        <v>99</v>
      </c>
      <c r="AO6" s="47" t="s">
        <v>99</v>
      </c>
      <c r="AP6" s="47" t="s">
        <v>99</v>
      </c>
      <c r="AQ6" s="47" t="s">
        <v>99</v>
      </c>
    </row>
    <row r="7" spans="1:43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4" t="s">
        <v>84</v>
      </c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  <c r="AQ7" s="4" t="s">
        <v>90</v>
      </c>
    </row>
    <row r="8" spans="1:43" x14ac:dyDescent="0.15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</row>
    <row r="9" spans="1:43" x14ac:dyDescent="0.15">
      <c r="A9" s="54" t="s">
        <v>112</v>
      </c>
      <c r="C9" s="45">
        <v>15</v>
      </c>
      <c r="D9" s="45">
        <v>16</v>
      </c>
      <c r="E9" s="45">
        <v>14</v>
      </c>
      <c r="F9" s="45">
        <v>15</v>
      </c>
      <c r="G9" s="45">
        <v>15</v>
      </c>
      <c r="H9" s="45">
        <v>17</v>
      </c>
      <c r="I9" s="45">
        <v>19</v>
      </c>
      <c r="J9" s="45">
        <v>19</v>
      </c>
      <c r="K9" s="45">
        <v>15</v>
      </c>
      <c r="L9" s="45">
        <v>14</v>
      </c>
      <c r="M9" s="45">
        <v>15</v>
      </c>
      <c r="N9" s="45">
        <v>15</v>
      </c>
      <c r="O9" s="8">
        <f>+N9</f>
        <v>15</v>
      </c>
      <c r="Q9" s="44">
        <v>15</v>
      </c>
      <c r="R9" s="44">
        <v>13</v>
      </c>
      <c r="S9" s="44">
        <v>16</v>
      </c>
      <c r="T9" s="44">
        <v>18</v>
      </c>
      <c r="U9" s="44">
        <v>17</v>
      </c>
      <c r="V9" s="44">
        <v>15</v>
      </c>
      <c r="W9" s="44">
        <f>+'Assumptions Summary'!W11</f>
        <v>17</v>
      </c>
      <c r="X9" s="44">
        <f>+'Assumptions Summary'!X11</f>
        <v>18</v>
      </c>
      <c r="Y9" s="44">
        <f>+'Assumptions Summary'!Y11</f>
        <v>19</v>
      </c>
      <c r="Z9" s="44">
        <f>+'Assumptions Summary'!Z11</f>
        <v>20</v>
      </c>
      <c r="AA9" s="44">
        <f>+'Assumptions Summary'!AA11</f>
        <v>21</v>
      </c>
      <c r="AB9" s="44">
        <f>+'Assumptions Summary'!AB11</f>
        <v>22</v>
      </c>
      <c r="AC9" s="8">
        <f>+AB9</f>
        <v>22</v>
      </c>
      <c r="AE9" s="44">
        <f>+'Assumptions Summary'!AE11</f>
        <v>22</v>
      </c>
      <c r="AF9" s="44">
        <f>+'Assumptions Summary'!AF11</f>
        <v>20</v>
      </c>
      <c r="AG9" s="44">
        <f t="shared" ref="AG9:AP9" si="0">+S9*1.05</f>
        <v>16.8</v>
      </c>
      <c r="AH9" s="44">
        <f t="shared" si="0"/>
        <v>18.900000000000002</v>
      </c>
      <c r="AI9" s="44">
        <f t="shared" si="0"/>
        <v>17.850000000000001</v>
      </c>
      <c r="AJ9" s="44">
        <f t="shared" si="0"/>
        <v>15.75</v>
      </c>
      <c r="AK9" s="44">
        <f t="shared" si="0"/>
        <v>17.850000000000001</v>
      </c>
      <c r="AL9" s="44">
        <f t="shared" si="0"/>
        <v>18.900000000000002</v>
      </c>
      <c r="AM9" s="44">
        <f t="shared" si="0"/>
        <v>19.95</v>
      </c>
      <c r="AN9" s="44">
        <f t="shared" si="0"/>
        <v>21</v>
      </c>
      <c r="AO9" s="44">
        <f t="shared" si="0"/>
        <v>22.05</v>
      </c>
      <c r="AP9" s="44">
        <f t="shared" si="0"/>
        <v>23.1</v>
      </c>
      <c r="AQ9" s="8">
        <f>+AP9</f>
        <v>23.1</v>
      </c>
    </row>
    <row r="10" spans="1:43" x14ac:dyDescent="0.15">
      <c r="A10" s="54" t="s">
        <v>113</v>
      </c>
      <c r="C10" s="49">
        <f>+C13/C9</f>
        <v>129550.39999999999</v>
      </c>
      <c r="D10" s="49">
        <f t="shared" ref="D10:Q10" si="1">+D13/D9</f>
        <v>133598.85</v>
      </c>
      <c r="E10" s="49">
        <f t="shared" si="1"/>
        <v>155738.08800000002</v>
      </c>
      <c r="F10" s="49">
        <f t="shared" si="1"/>
        <v>115180.660384</v>
      </c>
      <c r="G10" s="49">
        <f t="shared" si="1"/>
        <v>132477.04717632002</v>
      </c>
      <c r="H10" s="49">
        <f t="shared" si="1"/>
        <v>128580.66343584005</v>
      </c>
      <c r="I10" s="49">
        <f t="shared" si="1"/>
        <v>109293.56392046403</v>
      </c>
      <c r="J10" s="49">
        <f t="shared" si="1"/>
        <v>130550.89473684211</v>
      </c>
      <c r="K10" s="49">
        <f t="shared" si="1"/>
        <v>143283.86229972832</v>
      </c>
      <c r="L10" s="49">
        <f t="shared" si="1"/>
        <v>135096.21302545813</v>
      </c>
      <c r="M10" s="49">
        <f t="shared" si="1"/>
        <v>119785.30888257288</v>
      </c>
      <c r="N10" s="49">
        <f t="shared" si="1"/>
        <v>99107.907660034674</v>
      </c>
      <c r="O10" s="49">
        <f t="shared" si="1"/>
        <v>1602863.7068862901</v>
      </c>
      <c r="Q10" s="49">
        <f t="shared" si="1"/>
        <v>142591.66972823208</v>
      </c>
      <c r="R10" s="49">
        <f t="shared" ref="R10:V10" si="2">+R13/R9</f>
        <v>196529.30846153849</v>
      </c>
      <c r="S10" s="49">
        <f t="shared" si="2"/>
        <v>138358.47953317518</v>
      </c>
      <c r="T10" s="49">
        <f t="shared" si="2"/>
        <v>108227.07732372814</v>
      </c>
      <c r="U10" s="49">
        <f t="shared" si="2"/>
        <v>108863.70719033829</v>
      </c>
      <c r="V10" s="49">
        <f t="shared" si="2"/>
        <v>102081.14488983572</v>
      </c>
      <c r="W10" s="49">
        <f>+'Assumptions Summary'!W14</f>
        <v>112572.37083807796</v>
      </c>
      <c r="X10" s="49">
        <f>+'Assumptions Summary'!X14</f>
        <v>134467.42157894737</v>
      </c>
      <c r="Y10" s="49">
        <f>+'Assumptions Summary'!Y14</f>
        <v>147582.37816872017</v>
      </c>
      <c r="Z10" s="49">
        <f>+'Assumptions Summary'!Z14</f>
        <v>139149.09941622187</v>
      </c>
      <c r="AA10" s="49">
        <f>+'Assumptions Summary'!AA14</f>
        <v>123378.86814905006</v>
      </c>
      <c r="AB10" s="49">
        <f>+'Assumptions Summary'!AB14</f>
        <v>102081.14488983572</v>
      </c>
      <c r="AC10" s="49">
        <f>+AC13/AC9</f>
        <v>1227064.1727622552</v>
      </c>
      <c r="AE10" s="49">
        <f>+'Assumptions Summary'!AE14</f>
        <v>146869.41982007906</v>
      </c>
      <c r="AF10" s="49">
        <f>+'Assumptions Summary'!AF14</f>
        <v>202425.18771538464</v>
      </c>
      <c r="AG10" s="49">
        <f t="shared" ref="AG10:AP10" si="3">+S10*1.03</f>
        <v>142509.23391917045</v>
      </c>
      <c r="AH10" s="49">
        <f t="shared" si="3"/>
        <v>111473.88964343998</v>
      </c>
      <c r="AI10" s="49">
        <f t="shared" si="3"/>
        <v>112129.61840604844</v>
      </c>
      <c r="AJ10" s="49">
        <f t="shared" si="3"/>
        <v>105143.5792365308</v>
      </c>
      <c r="AK10" s="49">
        <f t="shared" si="3"/>
        <v>115949.5419632203</v>
      </c>
      <c r="AL10" s="49">
        <f t="shared" si="3"/>
        <v>138501.4442263158</v>
      </c>
      <c r="AM10" s="49">
        <f t="shared" si="3"/>
        <v>152009.84951378178</v>
      </c>
      <c r="AN10" s="49">
        <f t="shared" si="3"/>
        <v>143323.57239870852</v>
      </c>
      <c r="AO10" s="49">
        <f t="shared" si="3"/>
        <v>127080.23419352157</v>
      </c>
      <c r="AP10" s="49">
        <f t="shared" si="3"/>
        <v>105143.5792365308</v>
      </c>
      <c r="AQ10" s="49">
        <f>+AQ13/AQ9</f>
        <v>1407975.7249213289</v>
      </c>
    </row>
    <row r="11" spans="1:43" x14ac:dyDescent="0.15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</row>
    <row r="12" spans="1:43" x14ac:dyDescent="0.15">
      <c r="A12" s="9"/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x14ac:dyDescent="0.15">
      <c r="A13" s="53" t="s">
        <v>15</v>
      </c>
      <c r="C13" s="37">
        <v>1943256</v>
      </c>
      <c r="D13" s="37">
        <v>2137581.6</v>
      </c>
      <c r="E13" s="37">
        <v>2180333.2320000003</v>
      </c>
      <c r="F13" s="37">
        <v>1727709.90576</v>
      </c>
      <c r="G13" s="37">
        <v>1987155.7076448004</v>
      </c>
      <c r="H13" s="37">
        <v>2185871.2784092808</v>
      </c>
      <c r="I13" s="37">
        <v>2076577.7144888167</v>
      </c>
      <c r="J13" s="37">
        <v>2480467</v>
      </c>
      <c r="K13" s="37">
        <v>2149257.934495925</v>
      </c>
      <c r="L13" s="37">
        <v>1891346.982356414</v>
      </c>
      <c r="M13" s="37">
        <v>1796779.6332385931</v>
      </c>
      <c r="N13" s="37">
        <v>1486618.6149005201</v>
      </c>
      <c r="O13" s="37">
        <f>SUM(C13:N13)</f>
        <v>24042955.60329435</v>
      </c>
      <c r="Q13" s="37">
        <f>+I13*1.03</f>
        <v>2138875.0459234812</v>
      </c>
      <c r="R13" s="37">
        <f t="shared" ref="R13:V13" si="4">+J13*1.03</f>
        <v>2554881.0100000002</v>
      </c>
      <c r="S13" s="37">
        <f t="shared" si="4"/>
        <v>2213735.6725308029</v>
      </c>
      <c r="T13" s="37">
        <f t="shared" si="4"/>
        <v>1948087.3918271065</v>
      </c>
      <c r="U13" s="37">
        <f t="shared" si="4"/>
        <v>1850683.0222357509</v>
      </c>
      <c r="V13" s="37">
        <f t="shared" si="4"/>
        <v>1531217.1733475358</v>
      </c>
      <c r="W13" s="37">
        <f>+'Assumptions Summary'!W15</f>
        <v>1913730.3042473253</v>
      </c>
      <c r="X13" s="37">
        <f>+'Assumptions Summary'!X15</f>
        <v>2420413.5884210528</v>
      </c>
      <c r="Y13" s="37">
        <f>+'Assumptions Summary'!Y15</f>
        <v>2804065.1852056831</v>
      </c>
      <c r="Z13" s="37">
        <f>+'Assumptions Summary'!Z15</f>
        <v>2782981.9883244373</v>
      </c>
      <c r="AA13" s="37">
        <f>+'Assumptions Summary'!AA15</f>
        <v>2590956.2311300514</v>
      </c>
      <c r="AB13" s="37">
        <f>+'Assumptions Summary'!AB15</f>
        <v>2245785.1875763857</v>
      </c>
      <c r="AC13" s="37">
        <f>SUM(Q13:AB13)</f>
        <v>26995411.800769616</v>
      </c>
      <c r="AE13" s="37">
        <f>+'Assumptions Summary'!AE15</f>
        <v>3231127.2360417391</v>
      </c>
      <c r="AF13" s="37">
        <f>+'Assumptions Summary'!AF15</f>
        <v>4048503.7543076929</v>
      </c>
      <c r="AG13" s="37">
        <f>+'Assumptions Summary'!AG15</f>
        <v>2565166.2105450681</v>
      </c>
      <c r="AH13" s="37">
        <f>+'Assumptions Summary'!AH15</f>
        <v>2006530.0135819197</v>
      </c>
      <c r="AI13" s="37">
        <f>+'Assumptions Summary'!AI15</f>
        <v>2130462.7497149203</v>
      </c>
      <c r="AJ13" s="37">
        <f>+'Assumptions Summary'!AJ15</f>
        <v>2208015.163967147</v>
      </c>
      <c r="AK13" s="37">
        <f>+'Assumptions Summary'!AK15</f>
        <v>2550889.9231908466</v>
      </c>
      <c r="AL13" s="37">
        <f>+'Assumptions Summary'!AL15</f>
        <v>3185533.2172052632</v>
      </c>
      <c r="AM13" s="37">
        <f>+'Assumptions Summary'!AM15</f>
        <v>3192206.8397894176</v>
      </c>
      <c r="AN13" s="37">
        <f>+'Assumptions Summary'!AN15</f>
        <v>2866471.4479741706</v>
      </c>
      <c r="AO13" s="37">
        <f>+'Assumptions Summary'!AO15</f>
        <v>2541604.6838704315</v>
      </c>
      <c r="AP13" s="37">
        <f>+'Assumptions Summary'!AP15</f>
        <v>1997728.0054940851</v>
      </c>
      <c r="AQ13" s="37">
        <f>SUM(AE13:AP13)</f>
        <v>32524239.245682701</v>
      </c>
    </row>
    <row r="14" spans="1:43" x14ac:dyDescent="0.15">
      <c r="A14" s="1" t="s">
        <v>17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>SUM(C14:N14)</f>
        <v>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>
        <f>SUM(Q14:AB14)</f>
        <v>0</v>
      </c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>
        <f>SUM(AE14:AP14)</f>
        <v>0</v>
      </c>
    </row>
    <row r="15" spans="1:43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x14ac:dyDescent="0.15">
      <c r="A16" s="1" t="s">
        <v>18</v>
      </c>
      <c r="C16" s="11">
        <f t="shared" ref="C16:O16" si="5">SUM(C13:C14)</f>
        <v>1943256</v>
      </c>
      <c r="D16" s="11">
        <f t="shared" si="5"/>
        <v>2137581.6</v>
      </c>
      <c r="E16" s="11">
        <f t="shared" si="5"/>
        <v>2180333.2320000003</v>
      </c>
      <c r="F16" s="11">
        <f t="shared" si="5"/>
        <v>1727709.90576</v>
      </c>
      <c r="G16" s="11">
        <f t="shared" si="5"/>
        <v>1987155.7076448004</v>
      </c>
      <c r="H16" s="11">
        <f t="shared" si="5"/>
        <v>2185871.2784092808</v>
      </c>
      <c r="I16" s="11">
        <f t="shared" si="5"/>
        <v>2076577.7144888167</v>
      </c>
      <c r="J16" s="11">
        <f t="shared" si="5"/>
        <v>2480467</v>
      </c>
      <c r="K16" s="11">
        <f t="shared" si="5"/>
        <v>2149257.934495925</v>
      </c>
      <c r="L16" s="11">
        <f t="shared" si="5"/>
        <v>1891346.982356414</v>
      </c>
      <c r="M16" s="11">
        <f t="shared" si="5"/>
        <v>1796779.6332385931</v>
      </c>
      <c r="N16" s="11">
        <f t="shared" si="5"/>
        <v>1486618.6149005201</v>
      </c>
      <c r="O16" s="11">
        <f t="shared" si="5"/>
        <v>24042955.60329435</v>
      </c>
      <c r="Q16" s="11">
        <f t="shared" ref="Q16:AC16" si="6">SUM(Q13:Q14)</f>
        <v>2138875.0459234812</v>
      </c>
      <c r="R16" s="11">
        <f t="shared" si="6"/>
        <v>2554881.0100000002</v>
      </c>
      <c r="S16" s="11">
        <f t="shared" si="6"/>
        <v>2213735.6725308029</v>
      </c>
      <c r="T16" s="11">
        <f t="shared" si="6"/>
        <v>1948087.3918271065</v>
      </c>
      <c r="U16" s="11">
        <f t="shared" si="6"/>
        <v>1850683.0222357509</v>
      </c>
      <c r="V16" s="11">
        <f t="shared" si="6"/>
        <v>1531217.1733475358</v>
      </c>
      <c r="W16" s="11">
        <f t="shared" si="6"/>
        <v>1913730.3042473253</v>
      </c>
      <c r="X16" s="11">
        <f t="shared" si="6"/>
        <v>2420413.5884210528</v>
      </c>
      <c r="Y16" s="11">
        <f t="shared" si="6"/>
        <v>2804065.1852056831</v>
      </c>
      <c r="Z16" s="11">
        <f t="shared" si="6"/>
        <v>2782981.9883244373</v>
      </c>
      <c r="AA16" s="11">
        <f t="shared" si="6"/>
        <v>2590956.2311300514</v>
      </c>
      <c r="AB16" s="11">
        <f t="shared" si="6"/>
        <v>2245785.1875763857</v>
      </c>
      <c r="AC16" s="11">
        <f t="shared" si="6"/>
        <v>26995411.800769616</v>
      </c>
      <c r="AE16" s="11">
        <f t="shared" ref="AE16:AF16" si="7">SUM(AE13:AE14)</f>
        <v>3231127.2360417391</v>
      </c>
      <c r="AF16" s="11">
        <f t="shared" si="7"/>
        <v>4048503.7543076929</v>
      </c>
      <c r="AG16" s="11">
        <f t="shared" ref="AG16:AP16" si="8">SUM(AG13:AG14)</f>
        <v>2565166.2105450681</v>
      </c>
      <c r="AH16" s="11">
        <f t="shared" si="8"/>
        <v>2006530.0135819197</v>
      </c>
      <c r="AI16" s="11">
        <f t="shared" si="8"/>
        <v>2130462.7497149203</v>
      </c>
      <c r="AJ16" s="11">
        <f t="shared" si="8"/>
        <v>2208015.163967147</v>
      </c>
      <c r="AK16" s="11">
        <f t="shared" si="8"/>
        <v>2550889.9231908466</v>
      </c>
      <c r="AL16" s="11">
        <f t="shared" si="8"/>
        <v>3185533.2172052632</v>
      </c>
      <c r="AM16" s="11">
        <f t="shared" si="8"/>
        <v>3192206.8397894176</v>
      </c>
      <c r="AN16" s="11">
        <f t="shared" si="8"/>
        <v>2866471.4479741706</v>
      </c>
      <c r="AO16" s="11">
        <f t="shared" si="8"/>
        <v>2541604.6838704315</v>
      </c>
      <c r="AP16" s="11">
        <f t="shared" si="8"/>
        <v>1997728.0054940851</v>
      </c>
      <c r="AQ16" s="11">
        <f t="shared" ref="AQ16" si="9">SUM(AQ13:AQ14)</f>
        <v>32524239.245682701</v>
      </c>
    </row>
    <row r="17" spans="1:43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x14ac:dyDescent="0.15">
      <c r="A18" s="1" t="s">
        <v>19</v>
      </c>
      <c r="C18" s="12">
        <f>0.856*C13</f>
        <v>1663427.1359999999</v>
      </c>
      <c r="D18" s="12">
        <f>0.838*D13</f>
        <v>1791293.3807999999</v>
      </c>
      <c r="E18" s="12">
        <f>0.851*E13</f>
        <v>1855463.5804320001</v>
      </c>
      <c r="F18" s="12">
        <f>0.862*F13</f>
        <v>1489285.93876512</v>
      </c>
      <c r="G18" s="12">
        <f>0.847*G13</f>
        <v>1683120.8843751459</v>
      </c>
      <c r="H18" s="12">
        <f>0.842*H13</f>
        <v>1840503.6164206143</v>
      </c>
      <c r="I18" s="12">
        <f>0.834*I13</f>
        <v>1731865.8138836729</v>
      </c>
      <c r="J18" s="12">
        <f>0.855*J13</f>
        <v>2120799.2850000001</v>
      </c>
      <c r="K18" s="12">
        <f>0.846*K13</f>
        <v>1818272.2125835526</v>
      </c>
      <c r="L18" s="12">
        <f>0.871*L13</f>
        <v>1647363.2216324366</v>
      </c>
      <c r="M18" s="12">
        <f>0.846*M13</f>
        <v>1520075.5697198496</v>
      </c>
      <c r="N18" s="12">
        <f>0.841*N13</f>
        <v>1250246.2551313373</v>
      </c>
      <c r="O18" s="6">
        <f>SUM(C18:N18)</f>
        <v>20411716.894743733</v>
      </c>
      <c r="Q18" s="12">
        <f>0.859*Q13</f>
        <v>1837293.6644482703</v>
      </c>
      <c r="R18" s="12">
        <f>0.839*R13</f>
        <v>2143545.1673900001</v>
      </c>
      <c r="S18" s="12">
        <f>0.841*S13</f>
        <v>1861751.7005984052</v>
      </c>
      <c r="T18" s="12">
        <f>0.872*T13</f>
        <v>1698732.2056732369</v>
      </c>
      <c r="U18" s="12">
        <f>0.847*U13</f>
        <v>1567528.5198336809</v>
      </c>
      <c r="V18" s="12">
        <f>0.851*V13</f>
        <v>1303065.814518753</v>
      </c>
      <c r="W18" s="57">
        <f>W16-(+W16*'Assumptions Summary'!W17)</f>
        <v>1626670.7586102264</v>
      </c>
      <c r="X18" s="57">
        <f>X16-(+X16*'Assumptions Summary'!X17)</f>
        <v>2057351.5501578948</v>
      </c>
      <c r="Y18" s="57">
        <f>Y16-(+Y16*'Assumptions Summary'!Y17)</f>
        <v>2383455.4074248308</v>
      </c>
      <c r="Z18" s="57">
        <f>Z16-(+Z16*'Assumptions Summary'!Z17)</f>
        <v>2393364.509959016</v>
      </c>
      <c r="AA18" s="57">
        <f>AA16-(+AA16*'Assumptions Summary'!AA17)</f>
        <v>2228222.3587718443</v>
      </c>
      <c r="AB18" s="57">
        <f>AB16-(+AB16*'Assumptions Summary'!AB17)</f>
        <v>1931375.2613156918</v>
      </c>
      <c r="AC18" s="6">
        <f>SUM(Q18:AB18)</f>
        <v>23032356.918701854</v>
      </c>
      <c r="AE18" s="57">
        <f>AE16-(+AE16*'Assumptions Summary'!AE17)</f>
        <v>2778769.4229958956</v>
      </c>
      <c r="AF18" s="57">
        <f>AF16-(+AF16*'Assumptions Summary'!AF17)</f>
        <v>3481713.228704616</v>
      </c>
      <c r="AG18" s="57">
        <f>AG16-(+AG16*'Assumptions Summary'!AG17)</f>
        <v>2180391.2789633079</v>
      </c>
      <c r="AH18" s="57">
        <f>AH16-(+AH16*'Assumptions Summary'!AH17)</f>
        <v>1705550.5115446318</v>
      </c>
      <c r="AI18" s="57">
        <f>AI16-(+AI16*'Assumptions Summary'!AI17)</f>
        <v>1810893.3372576823</v>
      </c>
      <c r="AJ18" s="57">
        <f>AJ16-(+AJ16*'Assumptions Summary'!AJ17)</f>
        <v>1876812.889372075</v>
      </c>
      <c r="AK18" s="57">
        <f>AK16-(+AK16*'Assumptions Summary'!AK17)</f>
        <v>2168256.4347122195</v>
      </c>
      <c r="AL18" s="57">
        <f>AL16-(+AL16*'Assumptions Summary'!AL17)</f>
        <v>2707703.2346244738</v>
      </c>
      <c r="AM18" s="57">
        <f>AM16-(+AM16*'Assumptions Summary'!AM17)</f>
        <v>2713375.8138210047</v>
      </c>
      <c r="AN18" s="57">
        <f>AN16-(+AN16*'Assumptions Summary'!AN17)</f>
        <v>2436500.730778045</v>
      </c>
      <c r="AO18" s="57">
        <f>AO16-(+AO16*'Assumptions Summary'!AO17)</f>
        <v>2160363.9812898668</v>
      </c>
      <c r="AP18" s="57">
        <f>AP16-(+AP16*'Assumptions Summary'!AP17)</f>
        <v>1698068.8046699725</v>
      </c>
      <c r="AQ18" s="6">
        <f>SUM(AE18:AP18)</f>
        <v>27718399.668733791</v>
      </c>
    </row>
    <row r="19" spans="1:43" x14ac:dyDescent="0.1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</row>
    <row r="20" spans="1:43" x14ac:dyDescent="0.15">
      <c r="A20" t="s">
        <v>20</v>
      </c>
      <c r="C20" s="13">
        <f t="shared" ref="C20:O20" si="10">+C16-C18</f>
        <v>279828.86400000006</v>
      </c>
      <c r="D20" s="13">
        <f t="shared" si="10"/>
        <v>346288.21920000017</v>
      </c>
      <c r="E20" s="13">
        <f t="shared" si="10"/>
        <v>324869.6515680002</v>
      </c>
      <c r="F20" s="13">
        <f t="shared" si="10"/>
        <v>238423.96699488</v>
      </c>
      <c r="G20" s="13">
        <f t="shared" si="10"/>
        <v>304034.82326965453</v>
      </c>
      <c r="H20" s="13">
        <f t="shared" si="10"/>
        <v>345367.66198866651</v>
      </c>
      <c r="I20" s="13">
        <f t="shared" si="10"/>
        <v>344711.90060514375</v>
      </c>
      <c r="J20" s="13">
        <f t="shared" si="10"/>
        <v>359667.71499999985</v>
      </c>
      <c r="K20" s="13">
        <f t="shared" si="10"/>
        <v>330985.72191237239</v>
      </c>
      <c r="L20" s="13">
        <f t="shared" si="10"/>
        <v>243983.76072397735</v>
      </c>
      <c r="M20" s="13">
        <f t="shared" si="10"/>
        <v>276704.0635187435</v>
      </c>
      <c r="N20" s="13">
        <f t="shared" si="10"/>
        <v>236372.35976918275</v>
      </c>
      <c r="O20" s="13">
        <f t="shared" si="10"/>
        <v>3631238.7085506171</v>
      </c>
      <c r="Q20" s="13">
        <f>+Q16-Q18</f>
        <v>301581.38147521089</v>
      </c>
      <c r="R20" s="13">
        <f t="shared" ref="R20:AC20" si="11">+R16-R18</f>
        <v>411335.84261000017</v>
      </c>
      <c r="S20" s="13">
        <f t="shared" si="11"/>
        <v>351983.97193239769</v>
      </c>
      <c r="T20" s="13">
        <f t="shared" si="11"/>
        <v>249355.18615386961</v>
      </c>
      <c r="U20" s="13">
        <f t="shared" si="11"/>
        <v>283154.50240206998</v>
      </c>
      <c r="V20" s="13">
        <f t="shared" si="11"/>
        <v>228151.3588287828</v>
      </c>
      <c r="W20" s="13">
        <f t="shared" si="11"/>
        <v>287059.54563709884</v>
      </c>
      <c r="X20" s="13">
        <f t="shared" si="11"/>
        <v>363062.03826315794</v>
      </c>
      <c r="Y20" s="13">
        <f t="shared" si="11"/>
        <v>420609.77778085228</v>
      </c>
      <c r="Z20" s="13">
        <f t="shared" si="11"/>
        <v>389617.4783654213</v>
      </c>
      <c r="AA20" s="13">
        <f t="shared" si="11"/>
        <v>362733.87235820713</v>
      </c>
      <c r="AB20" s="13">
        <f t="shared" si="11"/>
        <v>314409.92626069393</v>
      </c>
      <c r="AC20" s="13">
        <f t="shared" si="11"/>
        <v>3963054.8820677623</v>
      </c>
      <c r="AE20" s="13">
        <f t="shared" ref="AE20:AF20" si="12">+AE16-AE18</f>
        <v>452357.8130458435</v>
      </c>
      <c r="AF20" s="13">
        <f t="shared" si="12"/>
        <v>566790.52560307691</v>
      </c>
      <c r="AG20" s="13">
        <f t="shared" ref="AG20:AP20" si="13">+AG16-AG18</f>
        <v>384774.93158176029</v>
      </c>
      <c r="AH20" s="13">
        <f t="shared" si="13"/>
        <v>300979.50203728792</v>
      </c>
      <c r="AI20" s="13">
        <f t="shared" si="13"/>
        <v>319569.41245723795</v>
      </c>
      <c r="AJ20" s="13">
        <f t="shared" si="13"/>
        <v>331202.27459507203</v>
      </c>
      <c r="AK20" s="13">
        <f t="shared" si="13"/>
        <v>382633.48847862706</v>
      </c>
      <c r="AL20" s="13">
        <f t="shared" si="13"/>
        <v>477829.98258078936</v>
      </c>
      <c r="AM20" s="13">
        <f t="shared" si="13"/>
        <v>478831.02596841287</v>
      </c>
      <c r="AN20" s="13">
        <f t="shared" si="13"/>
        <v>429970.71719612554</v>
      </c>
      <c r="AO20" s="13">
        <f t="shared" si="13"/>
        <v>381240.70258056466</v>
      </c>
      <c r="AP20" s="13">
        <f t="shared" si="13"/>
        <v>299659.20082411263</v>
      </c>
      <c r="AQ20" s="13">
        <f>+AQ16-AQ18</f>
        <v>4805839.576948911</v>
      </c>
    </row>
    <row r="21" spans="1:43" x14ac:dyDescent="0.15">
      <c r="C21" s="46">
        <f>+C20/C16</f>
        <v>0.14400000000000002</v>
      </c>
      <c r="D21" s="46">
        <f t="shared" ref="D21:O21" si="14">+D20/D16</f>
        <v>0.16200000000000006</v>
      </c>
      <c r="E21" s="46">
        <f t="shared" si="14"/>
        <v>0.14900000000000008</v>
      </c>
      <c r="F21" s="46">
        <f t="shared" si="14"/>
        <v>0.13800000000000001</v>
      </c>
      <c r="G21" s="46">
        <f t="shared" si="14"/>
        <v>0.15300000000000002</v>
      </c>
      <c r="H21" s="46">
        <f t="shared" si="14"/>
        <v>0.15800000000000006</v>
      </c>
      <c r="I21" s="46">
        <f t="shared" si="14"/>
        <v>0.16600000000000009</v>
      </c>
      <c r="J21" s="46">
        <f t="shared" si="14"/>
        <v>0.14499999999999993</v>
      </c>
      <c r="K21" s="46">
        <f t="shared" si="14"/>
        <v>0.15399999999999997</v>
      </c>
      <c r="L21" s="46">
        <f t="shared" si="14"/>
        <v>0.12899999999999998</v>
      </c>
      <c r="M21" s="46">
        <f t="shared" si="14"/>
        <v>0.15400000000000008</v>
      </c>
      <c r="N21" s="46">
        <f t="shared" si="14"/>
        <v>0.15900000000000003</v>
      </c>
      <c r="O21" s="46">
        <f t="shared" si="14"/>
        <v>0.15103129450744679</v>
      </c>
      <c r="Q21" s="46">
        <f t="shared" ref="Q21:AC21" si="15">+Q20/Q16</f>
        <v>0.14100000000000001</v>
      </c>
      <c r="R21" s="46">
        <f t="shared" si="15"/>
        <v>0.16100000000000006</v>
      </c>
      <c r="S21" s="46">
        <f t="shared" si="15"/>
        <v>0.159</v>
      </c>
      <c r="T21" s="46">
        <f t="shared" si="15"/>
        <v>0.128</v>
      </c>
      <c r="U21" s="46">
        <f t="shared" si="15"/>
        <v>0.15300000000000005</v>
      </c>
      <c r="V21" s="46">
        <f t="shared" si="15"/>
        <v>0.14899999999999999</v>
      </c>
      <c r="W21" s="46">
        <f t="shared" si="15"/>
        <v>0.15000000000000002</v>
      </c>
      <c r="X21" s="46">
        <f t="shared" si="15"/>
        <v>0.15000000000000002</v>
      </c>
      <c r="Y21" s="46">
        <f t="shared" si="15"/>
        <v>0.14999999999999994</v>
      </c>
      <c r="Z21" s="46">
        <f t="shared" si="15"/>
        <v>0.14000000000000001</v>
      </c>
      <c r="AA21" s="46">
        <f t="shared" si="15"/>
        <v>0.13999999999999996</v>
      </c>
      <c r="AB21" s="46">
        <f t="shared" si="15"/>
        <v>0.13999999999999996</v>
      </c>
      <c r="AC21" s="46">
        <f t="shared" si="15"/>
        <v>0.14680475746455474</v>
      </c>
      <c r="AE21" s="46">
        <f t="shared" ref="AE21:AF21" si="16">+AE20/AE16</f>
        <v>0.14000000000000001</v>
      </c>
      <c r="AF21" s="46">
        <f t="shared" si="16"/>
        <v>0.13999999999999999</v>
      </c>
      <c r="AG21" s="46">
        <f t="shared" ref="AG21:AP21" si="17">+AG20/AG16</f>
        <v>0.15000000000000002</v>
      </c>
      <c r="AH21" s="46">
        <f t="shared" si="17"/>
        <v>0.15</v>
      </c>
      <c r="AI21" s="46">
        <f t="shared" si="17"/>
        <v>0.14999999999999997</v>
      </c>
      <c r="AJ21" s="46">
        <f t="shared" si="17"/>
        <v>0.15</v>
      </c>
      <c r="AK21" s="46">
        <f t="shared" si="17"/>
        <v>0.15000000000000002</v>
      </c>
      <c r="AL21" s="46">
        <f t="shared" si="17"/>
        <v>0.14999999999999997</v>
      </c>
      <c r="AM21" s="46">
        <f t="shared" si="17"/>
        <v>0.15000000000000008</v>
      </c>
      <c r="AN21" s="46">
        <f t="shared" si="17"/>
        <v>0.15</v>
      </c>
      <c r="AO21" s="46">
        <f t="shared" si="17"/>
        <v>0.14999999999999997</v>
      </c>
      <c r="AP21" s="46">
        <f t="shared" si="17"/>
        <v>0.14999999999999994</v>
      </c>
      <c r="AQ21" s="46">
        <f t="shared" ref="AQ21" si="18">+AQ20/AQ16</f>
        <v>0.14776178285513142</v>
      </c>
    </row>
    <row r="22" spans="1:43" x14ac:dyDescent="0.15">
      <c r="A22" s="9" t="s">
        <v>21</v>
      </c>
      <c r="B22" s="10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x14ac:dyDescent="0.15">
      <c r="A23" t="s">
        <v>80</v>
      </c>
      <c r="C23" s="8">
        <v>101467</v>
      </c>
      <c r="D23" s="8">
        <f>(D$10/C$10)*C23</f>
        <v>104637.84375</v>
      </c>
      <c r="E23" s="8">
        <f t="shared" ref="E23:M23" si="19">(E$10/D$10)*D23</f>
        <v>121977.82928571428</v>
      </c>
      <c r="F23" s="8">
        <v>110638</v>
      </c>
      <c r="G23" s="8">
        <f t="shared" si="19"/>
        <v>127252.22703732413</v>
      </c>
      <c r="H23" s="8">
        <v>112612</v>
      </c>
      <c r="I23" s="8">
        <v>110490</v>
      </c>
      <c r="J23" s="8">
        <v>111441</v>
      </c>
      <c r="K23" s="8">
        <v>116897</v>
      </c>
      <c r="L23" s="8">
        <v>116870</v>
      </c>
      <c r="M23" s="8">
        <f t="shared" si="19"/>
        <v>103624.73333333334</v>
      </c>
      <c r="N23" s="8">
        <v>110690</v>
      </c>
      <c r="O23" s="8">
        <f t="shared" ref="O23:O35" si="20">SUM(C23:N23)</f>
        <v>1348597.6334063718</v>
      </c>
      <c r="Q23" s="8">
        <f>+C23*1.06</f>
        <v>107555.02</v>
      </c>
      <c r="R23" s="8">
        <f>+D23*1.02</f>
        <v>106730.60062500001</v>
      </c>
      <c r="S23" s="8">
        <f>+E23*0.98</f>
        <v>119538.27269999999</v>
      </c>
      <c r="T23" s="8">
        <f t="shared" ref="T23:V35" si="21">+F23*1.06</f>
        <v>117276.28</v>
      </c>
      <c r="U23" s="8">
        <f t="shared" si="21"/>
        <v>134887.36065956359</v>
      </c>
      <c r="V23" s="8">
        <f t="shared" si="21"/>
        <v>119368.72</v>
      </c>
      <c r="W23" s="8">
        <f>+V23*1.01</f>
        <v>120562.4072</v>
      </c>
      <c r="X23" s="8">
        <f t="shared" ref="X23:AB23" si="22">+W23*1.01</f>
        <v>121768.03127200001</v>
      </c>
      <c r="Y23" s="8">
        <f t="shared" si="22"/>
        <v>122985.71158472</v>
      </c>
      <c r="Z23" s="8">
        <f t="shared" si="22"/>
        <v>124215.56870056721</v>
      </c>
      <c r="AA23" s="8">
        <f t="shared" si="22"/>
        <v>125457.72438757287</v>
      </c>
      <c r="AB23" s="8">
        <f t="shared" si="22"/>
        <v>126712.3016314486</v>
      </c>
      <c r="AC23" s="8">
        <f t="shared" ref="AC23:AC35" si="23">SUM(Q23:AB23)</f>
        <v>1447057.9987608721</v>
      </c>
      <c r="AE23" s="8">
        <v>128000</v>
      </c>
      <c r="AF23" s="8">
        <v>128000</v>
      </c>
      <c r="AG23" s="8">
        <v>128000</v>
      </c>
      <c r="AH23" s="8">
        <v>128000</v>
      </c>
      <c r="AI23" s="8">
        <v>128000</v>
      </c>
      <c r="AJ23" s="8">
        <v>128000</v>
      </c>
      <c r="AK23" s="8">
        <v>128000</v>
      </c>
      <c r="AL23" s="8">
        <v>128000</v>
      </c>
      <c r="AM23" s="8">
        <v>128000</v>
      </c>
      <c r="AN23" s="8">
        <v>128000</v>
      </c>
      <c r="AO23" s="8">
        <v>128000</v>
      </c>
      <c r="AP23" s="8">
        <v>128000</v>
      </c>
      <c r="AQ23" s="8">
        <f t="shared" ref="AQ23:AQ35" si="24">SUM(AE23:AP23)</f>
        <v>1536000</v>
      </c>
    </row>
    <row r="24" spans="1:43" x14ac:dyDescent="0.15">
      <c r="A24" t="s">
        <v>22</v>
      </c>
      <c r="C24" s="8">
        <v>14750</v>
      </c>
      <c r="D24" s="11">
        <v>14820</v>
      </c>
      <c r="E24" s="11">
        <v>14760</v>
      </c>
      <c r="F24" s="11">
        <v>15357</v>
      </c>
      <c r="G24" s="11">
        <f t="shared" ref="D24:N35" si="25">(G$10/F$10)*F24</f>
        <v>17663.121627399145</v>
      </c>
      <c r="H24" s="11">
        <v>14800</v>
      </c>
      <c r="I24" s="11">
        <v>14800</v>
      </c>
      <c r="J24" s="11">
        <v>14800</v>
      </c>
      <c r="K24" s="11">
        <v>14800</v>
      </c>
      <c r="L24" s="11">
        <v>14800</v>
      </c>
      <c r="M24" s="11">
        <v>14800</v>
      </c>
      <c r="N24" s="11">
        <v>14800</v>
      </c>
      <c r="O24" s="8">
        <f t="shared" si="20"/>
        <v>180950.12162739914</v>
      </c>
      <c r="Q24" s="11">
        <f t="shared" ref="Q24:Q35" si="26">+C24*1.06</f>
        <v>15635</v>
      </c>
      <c r="R24" s="11">
        <f t="shared" ref="R24:R35" si="27">+D24*1.02</f>
        <v>15116.4</v>
      </c>
      <c r="S24" s="11">
        <f t="shared" ref="S24:S35" si="28">+E24*0.98</f>
        <v>14464.8</v>
      </c>
      <c r="T24" s="11">
        <f t="shared" si="21"/>
        <v>16278.42</v>
      </c>
      <c r="U24" s="11">
        <f t="shared" si="21"/>
        <v>18722.908925043095</v>
      </c>
      <c r="V24" s="11">
        <f t="shared" si="21"/>
        <v>15688</v>
      </c>
      <c r="W24" s="11">
        <v>16500</v>
      </c>
      <c r="X24" s="11">
        <v>16500</v>
      </c>
      <c r="Y24" s="11">
        <v>16500</v>
      </c>
      <c r="Z24" s="11">
        <v>16500</v>
      </c>
      <c r="AA24" s="11">
        <v>16500</v>
      </c>
      <c r="AB24" s="11">
        <v>16500</v>
      </c>
      <c r="AC24" s="8">
        <f t="shared" si="23"/>
        <v>194905.52892504309</v>
      </c>
      <c r="AE24" s="11">
        <f>16500</f>
        <v>16500</v>
      </c>
      <c r="AF24" s="11">
        <f>16500</f>
        <v>16500</v>
      </c>
      <c r="AG24" s="11">
        <f>16500</f>
        <v>16500</v>
      </c>
      <c r="AH24" s="11">
        <f>16500</f>
        <v>16500</v>
      </c>
      <c r="AI24" s="11">
        <f>16500</f>
        <v>16500</v>
      </c>
      <c r="AJ24" s="11">
        <f>16500</f>
        <v>16500</v>
      </c>
      <c r="AK24" s="11">
        <f>16500</f>
        <v>16500</v>
      </c>
      <c r="AL24" s="11">
        <f>16500</f>
        <v>16500</v>
      </c>
      <c r="AM24" s="11">
        <f>16500</f>
        <v>16500</v>
      </c>
      <c r="AN24" s="11">
        <f>16500</f>
        <v>16500</v>
      </c>
      <c r="AO24" s="11">
        <f>16500</f>
        <v>16500</v>
      </c>
      <c r="AP24" s="11">
        <f>16500</f>
        <v>16500</v>
      </c>
      <c r="AQ24" s="8">
        <f t="shared" si="24"/>
        <v>198000</v>
      </c>
    </row>
    <row r="25" spans="1:43" x14ac:dyDescent="0.15">
      <c r="A25" s="29" t="s">
        <v>23</v>
      </c>
      <c r="C25" s="8">
        <v>5328</v>
      </c>
      <c r="D25" s="11">
        <f t="shared" si="25"/>
        <v>5494.5</v>
      </c>
      <c r="E25" s="11">
        <f t="shared" si="25"/>
        <v>6405.017142857143</v>
      </c>
      <c r="F25" s="11">
        <f t="shared" si="25"/>
        <v>4737.0178596588812</v>
      </c>
      <c r="G25" s="11">
        <f t="shared" si="25"/>
        <v>5448.3637823999998</v>
      </c>
      <c r="H25" s="11">
        <f t="shared" si="25"/>
        <v>5288.1177888000011</v>
      </c>
      <c r="I25" s="11">
        <f t="shared" si="25"/>
        <v>4494.9001204800006</v>
      </c>
      <c r="J25" s="11">
        <f t="shared" si="25"/>
        <v>5369.1471979854532</v>
      </c>
      <c r="K25" s="11">
        <f t="shared" si="25"/>
        <v>5892.8140579492801</v>
      </c>
      <c r="L25" s="11">
        <f t="shared" si="25"/>
        <v>5556.0818260664637</v>
      </c>
      <c r="M25" s="11">
        <f t="shared" si="25"/>
        <v>4926.3925524455981</v>
      </c>
      <c r="N25" s="11">
        <f t="shared" si="25"/>
        <v>4075.9961529463794</v>
      </c>
      <c r="O25" s="8">
        <f t="shared" si="20"/>
        <v>63016.348481589201</v>
      </c>
      <c r="Q25" s="11">
        <f t="shared" si="26"/>
        <v>5647.68</v>
      </c>
      <c r="R25" s="11">
        <f t="shared" si="27"/>
        <v>5604.39</v>
      </c>
      <c r="S25" s="11">
        <f t="shared" si="28"/>
        <v>6276.9168</v>
      </c>
      <c r="T25" s="11">
        <f t="shared" si="21"/>
        <v>5021.2389312384139</v>
      </c>
      <c r="U25" s="11">
        <f t="shared" si="21"/>
        <v>5775.265609344</v>
      </c>
      <c r="V25" s="11">
        <f t="shared" si="21"/>
        <v>5605.4048561280015</v>
      </c>
      <c r="W25" s="11">
        <f t="shared" ref="W25:AB34" si="29">+V25*1.01</f>
        <v>5661.4589046892816</v>
      </c>
      <c r="X25" s="11">
        <f t="shared" si="29"/>
        <v>5718.073493736174</v>
      </c>
      <c r="Y25" s="11">
        <f t="shared" si="29"/>
        <v>5775.2542286735361</v>
      </c>
      <c r="Z25" s="11">
        <f t="shared" si="29"/>
        <v>5833.0067709602718</v>
      </c>
      <c r="AA25" s="11">
        <f t="shared" si="29"/>
        <v>5891.3368386698749</v>
      </c>
      <c r="AB25" s="11">
        <f t="shared" si="29"/>
        <v>5950.2502070565733</v>
      </c>
      <c r="AC25" s="8">
        <f t="shared" si="23"/>
        <v>68760.276640496115</v>
      </c>
      <c r="AE25" s="11">
        <f>+Q25*1.03</f>
        <v>5817.1104000000005</v>
      </c>
      <c r="AF25" s="11">
        <f t="shared" ref="AF25:AP26" si="30">+R25*1.03</f>
        <v>5772.5217000000002</v>
      </c>
      <c r="AG25" s="11">
        <f t="shared" si="30"/>
        <v>6465.2243040000003</v>
      </c>
      <c r="AH25" s="11">
        <f t="shared" si="30"/>
        <v>5171.8760991755662</v>
      </c>
      <c r="AI25" s="11">
        <f t="shared" si="30"/>
        <v>5948.5235776243198</v>
      </c>
      <c r="AJ25" s="11">
        <f t="shared" si="30"/>
        <v>5773.5670018118417</v>
      </c>
      <c r="AK25" s="11">
        <f t="shared" si="30"/>
        <v>5831.3026718299598</v>
      </c>
      <c r="AL25" s="11">
        <f t="shared" si="30"/>
        <v>5889.6156985482594</v>
      </c>
      <c r="AM25" s="11">
        <f t="shared" si="30"/>
        <v>5948.5118555337422</v>
      </c>
      <c r="AN25" s="11">
        <f t="shared" si="30"/>
        <v>6007.9969740890801</v>
      </c>
      <c r="AO25" s="11">
        <f t="shared" si="30"/>
        <v>6068.0769438299712</v>
      </c>
      <c r="AP25" s="11">
        <f t="shared" si="30"/>
        <v>6128.7577132682709</v>
      </c>
      <c r="AQ25" s="8">
        <f t="shared" si="24"/>
        <v>70823.084939711</v>
      </c>
    </row>
    <row r="26" spans="1:43" x14ac:dyDescent="0.15">
      <c r="A26" s="29" t="s">
        <v>24</v>
      </c>
      <c r="C26" s="8">
        <v>12480</v>
      </c>
      <c r="D26" s="11">
        <f t="shared" si="25"/>
        <v>12870</v>
      </c>
      <c r="E26" s="11">
        <f t="shared" si="25"/>
        <v>15002.742857142857</v>
      </c>
      <c r="F26" s="11">
        <f t="shared" si="25"/>
        <v>11095.717509110893</v>
      </c>
      <c r="G26" s="11">
        <f t="shared" si="25"/>
        <v>12761.933184</v>
      </c>
      <c r="H26" s="11">
        <f t="shared" si="25"/>
        <v>12386.582208000002</v>
      </c>
      <c r="I26" s="11">
        <f t="shared" si="25"/>
        <v>10528.594876800002</v>
      </c>
      <c r="J26" s="11">
        <f t="shared" si="25"/>
        <v>12576.380824110071</v>
      </c>
      <c r="K26" s="11">
        <f t="shared" si="25"/>
        <v>13802.9878834848</v>
      </c>
      <c r="L26" s="11">
        <f t="shared" si="25"/>
        <v>13014.245718714241</v>
      </c>
      <c r="M26" s="11">
        <f t="shared" si="25"/>
        <v>11539.297870593295</v>
      </c>
      <c r="N26" s="11">
        <f t="shared" si="25"/>
        <v>9547.3783762708008</v>
      </c>
      <c r="O26" s="8">
        <f t="shared" si="20"/>
        <v>147605.86130822697</v>
      </c>
      <c r="Q26" s="11">
        <f t="shared" si="26"/>
        <v>13228.800000000001</v>
      </c>
      <c r="R26" s="11">
        <f t="shared" si="27"/>
        <v>13127.4</v>
      </c>
      <c r="S26" s="11">
        <f t="shared" si="28"/>
        <v>14702.688</v>
      </c>
      <c r="T26" s="11">
        <f t="shared" si="21"/>
        <v>11761.460559657547</v>
      </c>
      <c r="U26" s="11">
        <v>13420</v>
      </c>
      <c r="V26" s="11">
        <f t="shared" si="21"/>
        <v>13129.777140480002</v>
      </c>
      <c r="W26" s="11">
        <f t="shared" si="29"/>
        <v>13261.074911884802</v>
      </c>
      <c r="X26" s="11">
        <f t="shared" si="29"/>
        <v>13393.68566100365</v>
      </c>
      <c r="Y26" s="11">
        <f t="shared" si="29"/>
        <v>13527.622517613687</v>
      </c>
      <c r="Z26" s="11">
        <f t="shared" si="29"/>
        <v>13662.898742789825</v>
      </c>
      <c r="AA26" s="11">
        <f t="shared" si="29"/>
        <v>13799.527730217724</v>
      </c>
      <c r="AB26" s="11">
        <f t="shared" si="29"/>
        <v>13937.523007519902</v>
      </c>
      <c r="AC26" s="8">
        <f t="shared" si="23"/>
        <v>160952.45827116712</v>
      </c>
      <c r="AE26" s="11">
        <f>+Q26*1.03</f>
        <v>13625.664000000001</v>
      </c>
      <c r="AF26" s="11">
        <f t="shared" si="30"/>
        <v>13521.222</v>
      </c>
      <c r="AG26" s="11">
        <f t="shared" si="30"/>
        <v>15143.76864</v>
      </c>
      <c r="AH26" s="11">
        <f t="shared" si="30"/>
        <v>12114.304376447275</v>
      </c>
      <c r="AI26" s="11">
        <f t="shared" si="30"/>
        <v>13822.6</v>
      </c>
      <c r="AJ26" s="11">
        <f t="shared" si="30"/>
        <v>13523.670454694402</v>
      </c>
      <c r="AK26" s="11">
        <f t="shared" si="30"/>
        <v>13658.907159241346</v>
      </c>
      <c r="AL26" s="11">
        <f t="shared" si="30"/>
        <v>13795.49623083376</v>
      </c>
      <c r="AM26" s="11">
        <f t="shared" si="30"/>
        <v>13933.451193142098</v>
      </c>
      <c r="AN26" s="11">
        <f t="shared" si="30"/>
        <v>14072.78570507352</v>
      </c>
      <c r="AO26" s="11">
        <f t="shared" si="30"/>
        <v>14213.513562124255</v>
      </c>
      <c r="AP26" s="11">
        <f t="shared" si="30"/>
        <v>14355.648697745499</v>
      </c>
      <c r="AQ26" s="8">
        <f t="shared" si="24"/>
        <v>165781.03201930216</v>
      </c>
    </row>
    <row r="27" spans="1:43" x14ac:dyDescent="0.15">
      <c r="A27" s="29"/>
      <c r="C27" s="8">
        <v>0</v>
      </c>
      <c r="D27" s="11">
        <f t="shared" si="25"/>
        <v>0</v>
      </c>
      <c r="E27" s="11">
        <f t="shared" si="25"/>
        <v>0</v>
      </c>
      <c r="F27" s="11">
        <f t="shared" si="25"/>
        <v>0</v>
      </c>
      <c r="G27" s="11">
        <f t="shared" si="25"/>
        <v>0</v>
      </c>
      <c r="H27" s="11">
        <f t="shared" si="25"/>
        <v>0</v>
      </c>
      <c r="I27" s="11">
        <f t="shared" si="25"/>
        <v>0</v>
      </c>
      <c r="J27" s="11">
        <f t="shared" si="25"/>
        <v>0</v>
      </c>
      <c r="K27" s="11">
        <f t="shared" si="25"/>
        <v>0</v>
      </c>
      <c r="L27" s="11">
        <f t="shared" si="25"/>
        <v>0</v>
      </c>
      <c r="M27" s="11">
        <f t="shared" si="25"/>
        <v>0</v>
      </c>
      <c r="N27" s="11">
        <f t="shared" si="25"/>
        <v>0</v>
      </c>
      <c r="O27" s="8">
        <f t="shared" si="20"/>
        <v>0</v>
      </c>
      <c r="Q27" s="11">
        <f t="shared" si="26"/>
        <v>0</v>
      </c>
      <c r="R27" s="11">
        <f t="shared" si="27"/>
        <v>0</v>
      </c>
      <c r="S27" s="11">
        <f t="shared" si="28"/>
        <v>0</v>
      </c>
      <c r="T27" s="11">
        <f t="shared" si="21"/>
        <v>0</v>
      </c>
      <c r="U27" s="11">
        <f t="shared" si="21"/>
        <v>0</v>
      </c>
      <c r="V27" s="11">
        <f t="shared" si="21"/>
        <v>0</v>
      </c>
      <c r="W27" s="11">
        <f t="shared" si="29"/>
        <v>0</v>
      </c>
      <c r="X27" s="11">
        <f t="shared" si="29"/>
        <v>0</v>
      </c>
      <c r="Y27" s="11">
        <f t="shared" si="29"/>
        <v>0</v>
      </c>
      <c r="Z27" s="11">
        <f t="shared" si="29"/>
        <v>0</v>
      </c>
      <c r="AA27" s="11">
        <f t="shared" si="29"/>
        <v>0</v>
      </c>
      <c r="AB27" s="11">
        <f t="shared" si="29"/>
        <v>0</v>
      </c>
      <c r="AC27" s="8">
        <f t="shared" si="23"/>
        <v>0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8">
        <f t="shared" si="24"/>
        <v>0</v>
      </c>
    </row>
    <row r="28" spans="1:43" x14ac:dyDescent="0.15">
      <c r="A28" s="29" t="s">
        <v>27</v>
      </c>
      <c r="C28" s="8">
        <v>3544</v>
      </c>
      <c r="D28" s="11">
        <f t="shared" si="25"/>
        <v>3654.75</v>
      </c>
      <c r="E28" s="11">
        <f t="shared" si="25"/>
        <v>4260.3942857142856</v>
      </c>
      <c r="F28" s="11">
        <f t="shared" si="25"/>
        <v>3150.8992670103371</v>
      </c>
      <c r="G28" s="11">
        <f t="shared" si="25"/>
        <v>3624.0617952000002</v>
      </c>
      <c r="H28" s="11">
        <f t="shared" si="25"/>
        <v>3517.4717424000009</v>
      </c>
      <c r="I28" s="11">
        <f t="shared" si="25"/>
        <v>2989.8509810400005</v>
      </c>
      <c r="J28" s="11">
        <f t="shared" si="25"/>
        <v>3571.3696827440776</v>
      </c>
      <c r="K28" s="11">
        <f t="shared" si="25"/>
        <v>3919.6946361434398</v>
      </c>
      <c r="L28" s="11">
        <f t="shared" si="25"/>
        <v>3695.7120855066719</v>
      </c>
      <c r="M28" s="11">
        <f t="shared" si="25"/>
        <v>3276.864715815916</v>
      </c>
      <c r="N28" s="11">
        <f t="shared" si="25"/>
        <v>2711.2106542871566</v>
      </c>
      <c r="O28" s="8">
        <f t="shared" si="20"/>
        <v>41916.279845861878</v>
      </c>
      <c r="Q28" s="11">
        <f t="shared" si="26"/>
        <v>3756.6400000000003</v>
      </c>
      <c r="R28" s="11">
        <f t="shared" si="27"/>
        <v>3727.8450000000003</v>
      </c>
      <c r="S28" s="11">
        <f t="shared" si="28"/>
        <v>4175.1863999999996</v>
      </c>
      <c r="T28" s="11">
        <f t="shared" si="21"/>
        <v>3339.9532230309574</v>
      </c>
      <c r="U28" s="11">
        <v>3370</v>
      </c>
      <c r="V28" s="11">
        <f t="shared" si="21"/>
        <v>3728.520046944001</v>
      </c>
      <c r="W28" s="11">
        <f t="shared" si="29"/>
        <v>3765.8052474134411</v>
      </c>
      <c r="X28" s="11">
        <f t="shared" si="29"/>
        <v>3803.4632998875754</v>
      </c>
      <c r="Y28" s="11">
        <f t="shared" si="29"/>
        <v>3841.4979328864511</v>
      </c>
      <c r="Z28" s="11">
        <f t="shared" si="29"/>
        <v>3879.9129122153154</v>
      </c>
      <c r="AA28" s="11">
        <f t="shared" si="29"/>
        <v>3918.7120413374687</v>
      </c>
      <c r="AB28" s="11">
        <f t="shared" si="29"/>
        <v>3957.8991617508436</v>
      </c>
      <c r="AC28" s="8">
        <f t="shared" si="23"/>
        <v>45265.435265466062</v>
      </c>
      <c r="AE28" s="11">
        <f t="shared" ref="AE28:AE29" si="31">+Q28*1.03</f>
        <v>3869.3392000000003</v>
      </c>
      <c r="AF28" s="11">
        <f t="shared" ref="AF28:AF29" si="32">+R28*1.03</f>
        <v>3839.6803500000005</v>
      </c>
      <c r="AG28" s="11">
        <f t="shared" ref="AG28:AG29" si="33">+S28*1.03</f>
        <v>4300.441992</v>
      </c>
      <c r="AH28" s="11">
        <f t="shared" ref="AH28:AH29" si="34">+T28*1.03</f>
        <v>3440.1518197218861</v>
      </c>
      <c r="AI28" s="11">
        <f t="shared" ref="AI28:AI29" si="35">+U28*1.03</f>
        <v>3471.1</v>
      </c>
      <c r="AJ28" s="11">
        <f t="shared" ref="AJ28:AJ29" si="36">+V28*1.03</f>
        <v>3840.3756483523212</v>
      </c>
      <c r="AK28" s="11">
        <f t="shared" ref="AK28:AK29" si="37">+W28*1.03</f>
        <v>3878.7794048358446</v>
      </c>
      <c r="AL28" s="11">
        <f t="shared" ref="AL28:AL29" si="38">+X28*1.03</f>
        <v>3917.5671988842028</v>
      </c>
      <c r="AM28" s="11">
        <f t="shared" ref="AM28:AM29" si="39">+Y28*1.03</f>
        <v>3956.7428708730445</v>
      </c>
      <c r="AN28" s="11">
        <f t="shared" ref="AN28:AN29" si="40">+Z28*1.03</f>
        <v>3996.3102995817749</v>
      </c>
      <c r="AO28" s="11">
        <f t="shared" ref="AO28:AO29" si="41">+AA28*1.03</f>
        <v>4036.2734025775931</v>
      </c>
      <c r="AP28" s="11">
        <f t="shared" ref="AP28:AP29" si="42">+AB28*1.03</f>
        <v>4076.6361366033689</v>
      </c>
      <c r="AQ28" s="8">
        <f t="shared" si="24"/>
        <v>46623.398323430039</v>
      </c>
    </row>
    <row r="29" spans="1:43" x14ac:dyDescent="0.15">
      <c r="A29" s="29" t="s">
        <v>28</v>
      </c>
      <c r="C29" s="8">
        <v>2853</v>
      </c>
      <c r="D29" s="11">
        <f t="shared" si="25"/>
        <v>2942.15625</v>
      </c>
      <c r="E29" s="11">
        <f t="shared" si="25"/>
        <v>3429.7135714285714</v>
      </c>
      <c r="F29" s="11">
        <f t="shared" si="25"/>
        <v>2536.5450363376103</v>
      </c>
      <c r="G29" s="11">
        <f t="shared" si="25"/>
        <v>2917.4515523999999</v>
      </c>
      <c r="H29" s="11">
        <f t="shared" si="25"/>
        <v>2831.6441538000004</v>
      </c>
      <c r="I29" s="11">
        <f t="shared" si="25"/>
        <v>2406.8975307300002</v>
      </c>
      <c r="J29" s="11">
        <f t="shared" si="25"/>
        <v>2875.0332124347779</v>
      </c>
      <c r="K29" s="11">
        <f t="shared" si="25"/>
        <v>3155.4426627870298</v>
      </c>
      <c r="L29" s="11">
        <f t="shared" si="25"/>
        <v>2975.1316534849138</v>
      </c>
      <c r="M29" s="11">
        <f t="shared" si="25"/>
        <v>2637.9500660899571</v>
      </c>
      <c r="N29" s="11">
        <f t="shared" si="25"/>
        <v>2182.5857778445984</v>
      </c>
      <c r="O29" s="8">
        <f t="shared" si="20"/>
        <v>33743.551467337464</v>
      </c>
      <c r="Q29" s="11">
        <f t="shared" si="26"/>
        <v>3024.1800000000003</v>
      </c>
      <c r="R29" s="11">
        <f t="shared" si="27"/>
        <v>3000.9993749999999</v>
      </c>
      <c r="S29" s="11">
        <f t="shared" si="28"/>
        <v>3361.1192999999998</v>
      </c>
      <c r="T29" s="11">
        <f t="shared" si="21"/>
        <v>2688.737738517867</v>
      </c>
      <c r="U29" s="11">
        <f t="shared" si="21"/>
        <v>3092.4986455439998</v>
      </c>
      <c r="V29" s="11">
        <f t="shared" si="21"/>
        <v>3001.5428030280004</v>
      </c>
      <c r="W29" s="11">
        <v>3200</v>
      </c>
      <c r="X29" s="11">
        <v>3200</v>
      </c>
      <c r="Y29" s="11">
        <v>3200</v>
      </c>
      <c r="Z29" s="11">
        <v>3200</v>
      </c>
      <c r="AA29" s="11">
        <v>3200</v>
      </c>
      <c r="AB29" s="11">
        <v>3200</v>
      </c>
      <c r="AC29" s="8">
        <f t="shared" si="23"/>
        <v>37369.077862089864</v>
      </c>
      <c r="AE29" s="11">
        <f t="shared" si="31"/>
        <v>3114.9054000000006</v>
      </c>
      <c r="AF29" s="11">
        <f t="shared" si="32"/>
        <v>3091.0293562500001</v>
      </c>
      <c r="AG29" s="11">
        <f t="shared" si="33"/>
        <v>3461.9528789999999</v>
      </c>
      <c r="AH29" s="11">
        <f t="shared" si="34"/>
        <v>2769.3998706734033</v>
      </c>
      <c r="AI29" s="11">
        <f t="shared" si="35"/>
        <v>3185.27360491032</v>
      </c>
      <c r="AJ29" s="11">
        <f t="shared" si="36"/>
        <v>3091.5890871188403</v>
      </c>
      <c r="AK29" s="11">
        <f t="shared" si="37"/>
        <v>3296</v>
      </c>
      <c r="AL29" s="11">
        <f t="shared" si="38"/>
        <v>3296</v>
      </c>
      <c r="AM29" s="11">
        <f t="shared" si="39"/>
        <v>3296</v>
      </c>
      <c r="AN29" s="11">
        <f t="shared" si="40"/>
        <v>3296</v>
      </c>
      <c r="AO29" s="11">
        <f t="shared" si="41"/>
        <v>3296</v>
      </c>
      <c r="AP29" s="11">
        <f t="shared" si="42"/>
        <v>3296</v>
      </c>
      <c r="AQ29" s="8">
        <f t="shared" si="24"/>
        <v>38490.150197952564</v>
      </c>
    </row>
    <row r="30" spans="1:43" x14ac:dyDescent="0.15">
      <c r="A30" s="29"/>
      <c r="C30" s="8">
        <v>0</v>
      </c>
      <c r="D30" s="11">
        <f t="shared" si="25"/>
        <v>0</v>
      </c>
      <c r="E30" s="11">
        <f t="shared" si="25"/>
        <v>0</v>
      </c>
      <c r="F30" s="11">
        <f t="shared" si="25"/>
        <v>0</v>
      </c>
      <c r="G30" s="11">
        <f t="shared" si="25"/>
        <v>0</v>
      </c>
      <c r="H30" s="11">
        <f t="shared" si="25"/>
        <v>0</v>
      </c>
      <c r="I30" s="11">
        <f t="shared" si="25"/>
        <v>0</v>
      </c>
      <c r="J30" s="11">
        <f t="shared" si="25"/>
        <v>0</v>
      </c>
      <c r="K30" s="11">
        <f t="shared" si="25"/>
        <v>0</v>
      </c>
      <c r="L30" s="11">
        <f t="shared" si="25"/>
        <v>0</v>
      </c>
      <c r="M30" s="11">
        <f t="shared" si="25"/>
        <v>0</v>
      </c>
      <c r="N30" s="11">
        <f t="shared" si="25"/>
        <v>0</v>
      </c>
      <c r="O30" s="8">
        <f t="shared" si="20"/>
        <v>0</v>
      </c>
      <c r="Q30" s="11">
        <f t="shared" si="26"/>
        <v>0</v>
      </c>
      <c r="R30" s="11">
        <f t="shared" si="27"/>
        <v>0</v>
      </c>
      <c r="S30" s="11">
        <f t="shared" si="28"/>
        <v>0</v>
      </c>
      <c r="T30" s="11">
        <f t="shared" si="21"/>
        <v>0</v>
      </c>
      <c r="U30" s="11">
        <f t="shared" si="21"/>
        <v>0</v>
      </c>
      <c r="V30" s="11">
        <f t="shared" si="21"/>
        <v>0</v>
      </c>
      <c r="W30" s="11">
        <f t="shared" si="29"/>
        <v>0</v>
      </c>
      <c r="X30" s="11">
        <f t="shared" si="29"/>
        <v>0</v>
      </c>
      <c r="Y30" s="11">
        <f t="shared" si="29"/>
        <v>0</v>
      </c>
      <c r="Z30" s="11">
        <f t="shared" si="29"/>
        <v>0</v>
      </c>
      <c r="AA30" s="11">
        <f t="shared" si="29"/>
        <v>0</v>
      </c>
      <c r="AB30" s="11">
        <f t="shared" si="29"/>
        <v>0</v>
      </c>
      <c r="AC30" s="8">
        <f t="shared" si="23"/>
        <v>0</v>
      </c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8">
        <f t="shared" si="24"/>
        <v>0</v>
      </c>
    </row>
    <row r="31" spans="1:43" x14ac:dyDescent="0.15">
      <c r="A31" s="54" t="s">
        <v>110</v>
      </c>
      <c r="C31" s="8">
        <v>4500</v>
      </c>
      <c r="D31" s="11">
        <f t="shared" si="25"/>
        <v>4640.625</v>
      </c>
      <c r="E31" s="11">
        <f t="shared" si="25"/>
        <v>5409.6428571428569</v>
      </c>
      <c r="F31" s="11">
        <f t="shared" si="25"/>
        <v>4000.8596787659471</v>
      </c>
      <c r="G31" s="11">
        <f t="shared" si="25"/>
        <v>4601.6585999999998</v>
      </c>
      <c r="H31" s="11">
        <f t="shared" si="25"/>
        <v>4466.315700000001</v>
      </c>
      <c r="I31" s="11">
        <f t="shared" si="25"/>
        <v>3796.3683450000008</v>
      </c>
      <c r="J31" s="11">
        <f t="shared" si="25"/>
        <v>4534.7527010012273</v>
      </c>
      <c r="K31" s="11">
        <f t="shared" si="25"/>
        <v>4977.0389002949996</v>
      </c>
      <c r="L31" s="11">
        <f t="shared" si="25"/>
        <v>4692.6366774209991</v>
      </c>
      <c r="M31" s="11">
        <f t="shared" si="25"/>
        <v>4160.8045206466195</v>
      </c>
      <c r="N31" s="11">
        <f t="shared" si="25"/>
        <v>3442.564318366874</v>
      </c>
      <c r="O31" s="8">
        <f t="shared" si="20"/>
        <v>53223.267298639526</v>
      </c>
      <c r="Q31" s="11">
        <f t="shared" si="26"/>
        <v>4770</v>
      </c>
      <c r="R31" s="11">
        <f t="shared" si="27"/>
        <v>4733.4375</v>
      </c>
      <c r="S31" s="11">
        <f t="shared" si="28"/>
        <v>5301.45</v>
      </c>
      <c r="T31" s="11">
        <f t="shared" si="21"/>
        <v>4240.9112594919043</v>
      </c>
      <c r="U31" s="11">
        <v>4689</v>
      </c>
      <c r="V31" s="11">
        <f t="shared" si="21"/>
        <v>4734.2946420000017</v>
      </c>
      <c r="W31" s="11">
        <v>5000</v>
      </c>
      <c r="X31" s="11">
        <v>5000</v>
      </c>
      <c r="Y31" s="11">
        <v>5000</v>
      </c>
      <c r="Z31" s="11">
        <v>5000</v>
      </c>
      <c r="AA31" s="11">
        <v>5000</v>
      </c>
      <c r="AB31" s="11">
        <v>5000</v>
      </c>
      <c r="AC31" s="8">
        <f t="shared" si="23"/>
        <v>58469.093401491904</v>
      </c>
      <c r="AE31" s="11">
        <v>6000</v>
      </c>
      <c r="AF31" s="11">
        <v>6000</v>
      </c>
      <c r="AG31" s="11">
        <v>6000</v>
      </c>
      <c r="AH31" s="11">
        <v>6000</v>
      </c>
      <c r="AI31" s="11">
        <v>6000</v>
      </c>
      <c r="AJ31" s="11">
        <v>6000</v>
      </c>
      <c r="AK31" s="11">
        <v>6000</v>
      </c>
      <c r="AL31" s="11">
        <v>6000</v>
      </c>
      <c r="AM31" s="11">
        <v>6000</v>
      </c>
      <c r="AN31" s="11">
        <v>6000</v>
      </c>
      <c r="AO31" s="11">
        <v>6000</v>
      </c>
      <c r="AP31" s="11">
        <v>6000</v>
      </c>
      <c r="AQ31" s="8">
        <f t="shared" si="24"/>
        <v>72000</v>
      </c>
    </row>
    <row r="32" spans="1:43" x14ac:dyDescent="0.15">
      <c r="A32" s="54" t="s">
        <v>114</v>
      </c>
      <c r="C32" s="8">
        <v>2980</v>
      </c>
      <c r="D32" s="11">
        <f t="shared" si="25"/>
        <v>3073.125</v>
      </c>
      <c r="E32" s="11">
        <f t="shared" si="25"/>
        <v>3582.3857142857141</v>
      </c>
      <c r="F32" s="11">
        <f t="shared" si="25"/>
        <v>2649.4581872716717</v>
      </c>
      <c r="G32" s="11">
        <f t="shared" si="25"/>
        <v>3047.3205840000001</v>
      </c>
      <c r="H32" s="11">
        <f t="shared" si="25"/>
        <v>2957.6935080000007</v>
      </c>
      <c r="I32" s="11">
        <f t="shared" si="25"/>
        <v>2514.0394818000004</v>
      </c>
      <c r="J32" s="11">
        <f t="shared" si="25"/>
        <v>3003.014010885257</v>
      </c>
      <c r="K32" s="11">
        <f t="shared" si="25"/>
        <v>3295.9057606397996</v>
      </c>
      <c r="L32" s="11">
        <f t="shared" si="25"/>
        <v>3107.5682886032396</v>
      </c>
      <c r="M32" s="11">
        <f t="shared" si="25"/>
        <v>2755.3772158948727</v>
      </c>
      <c r="N32" s="11">
        <f t="shared" si="25"/>
        <v>2279.7425930518411</v>
      </c>
      <c r="O32" s="8">
        <f t="shared" si="20"/>
        <v>35245.6303444324</v>
      </c>
      <c r="Q32" s="11">
        <f t="shared" si="26"/>
        <v>3158.8</v>
      </c>
      <c r="R32" s="11">
        <f t="shared" si="27"/>
        <v>3134.5875000000001</v>
      </c>
      <c r="S32" s="11">
        <f t="shared" si="28"/>
        <v>3510.7379999999998</v>
      </c>
      <c r="T32" s="11">
        <f t="shared" si="21"/>
        <v>2808.425678507972</v>
      </c>
      <c r="U32" s="11">
        <f t="shared" si="21"/>
        <v>3230.15981904</v>
      </c>
      <c r="V32" s="11">
        <f t="shared" si="21"/>
        <v>3135.155118480001</v>
      </c>
      <c r="W32" s="11">
        <f t="shared" si="29"/>
        <v>3166.5066696648009</v>
      </c>
      <c r="X32" s="11">
        <f t="shared" si="29"/>
        <v>3198.1717363614489</v>
      </c>
      <c r="Y32" s="11">
        <f t="shared" si="29"/>
        <v>3230.1534537250636</v>
      </c>
      <c r="Z32" s="11">
        <f t="shared" si="29"/>
        <v>3262.4549882623141</v>
      </c>
      <c r="AA32" s="11">
        <f t="shared" si="29"/>
        <v>3295.0795381449375</v>
      </c>
      <c r="AB32" s="11">
        <f t="shared" si="29"/>
        <v>3328.030333526387</v>
      </c>
      <c r="AC32" s="8">
        <f t="shared" si="23"/>
        <v>38458.262835712922</v>
      </c>
      <c r="AE32" s="11">
        <f t="shared" ref="AE32" si="43">+Q32*1.03</f>
        <v>3253.5640000000003</v>
      </c>
      <c r="AF32" s="11">
        <f t="shared" ref="AF32" si="44">+R32*1.03</f>
        <v>3228.625125</v>
      </c>
      <c r="AG32" s="11">
        <f t="shared" ref="AG32" si="45">+S32*1.03</f>
        <v>3616.06014</v>
      </c>
      <c r="AH32" s="11">
        <f t="shared" ref="AH32" si="46">+T32*1.03</f>
        <v>2892.6784488632111</v>
      </c>
      <c r="AI32" s="11">
        <f t="shared" ref="AI32" si="47">+U32*1.03</f>
        <v>3327.0646136112</v>
      </c>
      <c r="AJ32" s="11">
        <f t="shared" ref="AJ32" si="48">+V32*1.03</f>
        <v>3229.2097720344009</v>
      </c>
      <c r="AK32" s="11">
        <f t="shared" ref="AK32" si="49">+W32*1.03</f>
        <v>3261.5018697547453</v>
      </c>
      <c r="AL32" s="11">
        <f t="shared" ref="AL32" si="50">+X32*1.03</f>
        <v>3294.1168884522926</v>
      </c>
      <c r="AM32" s="11">
        <f t="shared" ref="AM32" si="51">+Y32*1.03</f>
        <v>3327.0580573368156</v>
      </c>
      <c r="AN32" s="11">
        <f t="shared" ref="AN32" si="52">+Z32*1.03</f>
        <v>3360.3286379101837</v>
      </c>
      <c r="AO32" s="11">
        <f t="shared" ref="AO32" si="53">+AA32*1.03</f>
        <v>3393.9319242892857</v>
      </c>
      <c r="AP32" s="11">
        <f t="shared" ref="AP32" si="54">+AB32*1.03</f>
        <v>3427.8712435321786</v>
      </c>
      <c r="AQ32" s="8">
        <f t="shared" si="24"/>
        <v>39612.010720784318</v>
      </c>
    </row>
    <row r="33" spans="1:43" x14ac:dyDescent="0.15">
      <c r="A33" t="s">
        <v>93</v>
      </c>
      <c r="C33" s="8">
        <v>5475</v>
      </c>
      <c r="D33" s="8">
        <v>5475</v>
      </c>
      <c r="E33" s="8">
        <v>5475</v>
      </c>
      <c r="F33" s="8">
        <v>5475</v>
      </c>
      <c r="G33" s="8">
        <v>5475</v>
      </c>
      <c r="H33" s="8">
        <v>5475</v>
      </c>
      <c r="I33" s="8">
        <v>5475</v>
      </c>
      <c r="J33" s="8">
        <v>5475</v>
      </c>
      <c r="K33" s="8">
        <v>5475</v>
      </c>
      <c r="L33" s="8">
        <v>5475</v>
      </c>
      <c r="M33" s="8">
        <v>5475</v>
      </c>
      <c r="N33" s="8">
        <v>10350</v>
      </c>
      <c r="O33" s="8">
        <f t="shared" si="20"/>
        <v>70575</v>
      </c>
      <c r="Q33" s="11">
        <v>5850</v>
      </c>
      <c r="R33" s="11">
        <v>5850</v>
      </c>
      <c r="S33" s="11">
        <v>5850</v>
      </c>
      <c r="T33" s="11">
        <v>5850</v>
      </c>
      <c r="U33" s="11">
        <v>5850</v>
      </c>
      <c r="V33" s="11">
        <v>5850</v>
      </c>
      <c r="W33" s="8">
        <f>+V33</f>
        <v>5850</v>
      </c>
      <c r="X33" s="8">
        <f t="shared" ref="X33:AB33" si="55">+W33</f>
        <v>5850</v>
      </c>
      <c r="Y33" s="8">
        <f t="shared" si="55"/>
        <v>5850</v>
      </c>
      <c r="Z33" s="8">
        <f t="shared" si="55"/>
        <v>5850</v>
      </c>
      <c r="AA33" s="8">
        <f t="shared" si="55"/>
        <v>5850</v>
      </c>
      <c r="AB33" s="8">
        <f t="shared" si="55"/>
        <v>5850</v>
      </c>
      <c r="AC33" s="8">
        <f t="shared" si="23"/>
        <v>70200</v>
      </c>
      <c r="AE33" s="11">
        <v>6000</v>
      </c>
      <c r="AF33" s="11">
        <v>6000</v>
      </c>
      <c r="AG33" s="11">
        <v>6000</v>
      </c>
      <c r="AH33" s="11">
        <v>6000</v>
      </c>
      <c r="AI33" s="11">
        <v>6000</v>
      </c>
      <c r="AJ33" s="11">
        <v>6000</v>
      </c>
      <c r="AK33" s="11">
        <v>6000</v>
      </c>
      <c r="AL33" s="11">
        <v>6000</v>
      </c>
      <c r="AM33" s="11">
        <v>6000</v>
      </c>
      <c r="AN33" s="11">
        <v>6000</v>
      </c>
      <c r="AO33" s="11">
        <v>6000</v>
      </c>
      <c r="AP33" s="11">
        <v>6000</v>
      </c>
      <c r="AQ33" s="8">
        <f t="shared" si="24"/>
        <v>72000</v>
      </c>
    </row>
    <row r="34" spans="1:43" x14ac:dyDescent="0.15">
      <c r="C34" s="8"/>
      <c r="D34" s="11">
        <f t="shared" si="25"/>
        <v>0</v>
      </c>
      <c r="E34" s="11">
        <f t="shared" si="25"/>
        <v>0</v>
      </c>
      <c r="F34" s="11">
        <f t="shared" si="25"/>
        <v>0</v>
      </c>
      <c r="G34" s="11">
        <f t="shared" si="25"/>
        <v>0</v>
      </c>
      <c r="H34" s="11">
        <f t="shared" si="25"/>
        <v>0</v>
      </c>
      <c r="I34" s="11">
        <f t="shared" si="25"/>
        <v>0</v>
      </c>
      <c r="J34" s="11">
        <f t="shared" si="25"/>
        <v>0</v>
      </c>
      <c r="K34" s="11">
        <f t="shared" si="25"/>
        <v>0</v>
      </c>
      <c r="L34" s="11">
        <f t="shared" si="25"/>
        <v>0</v>
      </c>
      <c r="M34" s="11">
        <f t="shared" si="25"/>
        <v>0</v>
      </c>
      <c r="N34" s="11">
        <f t="shared" si="25"/>
        <v>0</v>
      </c>
      <c r="O34" s="8">
        <f t="shared" si="20"/>
        <v>0</v>
      </c>
      <c r="Q34" s="11">
        <f t="shared" si="26"/>
        <v>0</v>
      </c>
      <c r="R34" s="11">
        <f t="shared" si="27"/>
        <v>0</v>
      </c>
      <c r="S34" s="11">
        <f t="shared" si="28"/>
        <v>0</v>
      </c>
      <c r="T34" s="11">
        <f t="shared" si="21"/>
        <v>0</v>
      </c>
      <c r="U34" s="11">
        <f t="shared" si="21"/>
        <v>0</v>
      </c>
      <c r="V34" s="11">
        <f t="shared" si="21"/>
        <v>0</v>
      </c>
      <c r="W34" s="11">
        <f t="shared" si="29"/>
        <v>0</v>
      </c>
      <c r="X34" s="11">
        <f t="shared" si="29"/>
        <v>0</v>
      </c>
      <c r="Y34" s="11">
        <f t="shared" si="29"/>
        <v>0</v>
      </c>
      <c r="Z34" s="11">
        <f t="shared" si="29"/>
        <v>0</v>
      </c>
      <c r="AA34" s="11">
        <f t="shared" si="29"/>
        <v>0</v>
      </c>
      <c r="AB34" s="11">
        <f t="shared" si="29"/>
        <v>0</v>
      </c>
      <c r="AC34" s="8">
        <f t="shared" si="23"/>
        <v>0</v>
      </c>
      <c r="AE34" s="11">
        <f t="shared" ref="AE34" si="56">+AB34</f>
        <v>0</v>
      </c>
      <c r="AF34" s="11">
        <f t="shared" ref="AF34" si="57">+AC34</f>
        <v>0</v>
      </c>
      <c r="AG34" s="11">
        <f t="shared" ref="AG34" si="58">+AD34</f>
        <v>0</v>
      </c>
      <c r="AH34" s="11">
        <f t="shared" ref="AH34" si="59">+AE34</f>
        <v>0</v>
      </c>
      <c r="AI34" s="11">
        <f t="shared" ref="AI34" si="60">+AF34</f>
        <v>0</v>
      </c>
      <c r="AJ34" s="11">
        <f t="shared" ref="AJ34" si="61">+AG34</f>
        <v>0</v>
      </c>
      <c r="AK34" s="11">
        <f t="shared" ref="AK34" si="62">+AH34</f>
        <v>0</v>
      </c>
      <c r="AL34" s="11">
        <f t="shared" ref="AL34" si="63">+AI34</f>
        <v>0</v>
      </c>
      <c r="AM34" s="11">
        <f t="shared" ref="AM34" si="64">+AJ34</f>
        <v>0</v>
      </c>
      <c r="AN34" s="11">
        <f t="shared" ref="AN34" si="65">+AK34</f>
        <v>0</v>
      </c>
      <c r="AO34" s="11">
        <f t="shared" ref="AO34" si="66">+AL34</f>
        <v>0</v>
      </c>
      <c r="AP34" s="11">
        <f t="shared" ref="AP34" si="67">+AM34</f>
        <v>0</v>
      </c>
      <c r="AQ34" s="8">
        <f t="shared" si="24"/>
        <v>0</v>
      </c>
    </row>
    <row r="35" spans="1:43" x14ac:dyDescent="0.15">
      <c r="A35" s="54" t="s">
        <v>111</v>
      </c>
      <c r="C35" s="6">
        <v>5496</v>
      </c>
      <c r="D35" s="6">
        <f t="shared" si="25"/>
        <v>5667.75</v>
      </c>
      <c r="E35" s="6">
        <f t="shared" si="25"/>
        <v>6606.977142857143</v>
      </c>
      <c r="F35" s="6">
        <f t="shared" si="25"/>
        <v>4886.3832876661436</v>
      </c>
      <c r="G35" s="6">
        <f t="shared" si="25"/>
        <v>5620.1590367999997</v>
      </c>
      <c r="H35" s="6">
        <f t="shared" si="25"/>
        <v>5454.8602416000012</v>
      </c>
      <c r="I35" s="6">
        <f t="shared" si="25"/>
        <v>4636.6312053600013</v>
      </c>
      <c r="J35" s="6">
        <f t="shared" si="25"/>
        <v>5538.4446321561663</v>
      </c>
      <c r="K35" s="6">
        <f t="shared" si="25"/>
        <v>6078.6235102269611</v>
      </c>
      <c r="L35" s="6">
        <f t="shared" si="25"/>
        <v>5731.273595356849</v>
      </c>
      <c r="M35" s="6">
        <f t="shared" si="25"/>
        <v>5081.7292545497394</v>
      </c>
      <c r="N35" s="6">
        <f t="shared" si="25"/>
        <v>4204.51855416541</v>
      </c>
      <c r="O35" s="6">
        <f t="shared" si="20"/>
        <v>65003.350460738424</v>
      </c>
      <c r="Q35" s="6">
        <f t="shared" si="26"/>
        <v>5825.76</v>
      </c>
      <c r="R35" s="6">
        <f t="shared" si="27"/>
        <v>5781.1050000000005</v>
      </c>
      <c r="S35" s="6">
        <f t="shared" si="28"/>
        <v>6474.8375999999998</v>
      </c>
      <c r="T35" s="6">
        <f t="shared" si="21"/>
        <v>5179.5662849261125</v>
      </c>
      <c r="U35" s="6">
        <f t="shared" si="21"/>
        <v>5957.3685790079999</v>
      </c>
      <c r="V35" s="6">
        <f t="shared" si="21"/>
        <v>5782.1518560960012</v>
      </c>
      <c r="W35" s="6">
        <v>6000</v>
      </c>
      <c r="X35" s="6">
        <v>6000</v>
      </c>
      <c r="Y35" s="6">
        <v>6000</v>
      </c>
      <c r="Z35" s="6">
        <v>6000</v>
      </c>
      <c r="AA35" s="6">
        <v>6000</v>
      </c>
      <c r="AB35" s="6">
        <v>6000</v>
      </c>
      <c r="AC35" s="6">
        <f t="shared" si="23"/>
        <v>71000.789320030119</v>
      </c>
      <c r="AE35" s="6">
        <v>7000</v>
      </c>
      <c r="AF35" s="6">
        <v>7000</v>
      </c>
      <c r="AG35" s="6">
        <v>7000</v>
      </c>
      <c r="AH35" s="6">
        <v>7000</v>
      </c>
      <c r="AI35" s="6">
        <v>7000</v>
      </c>
      <c r="AJ35" s="6">
        <v>7000</v>
      </c>
      <c r="AK35" s="6">
        <v>7000</v>
      </c>
      <c r="AL35" s="6">
        <v>7000</v>
      </c>
      <c r="AM35" s="6">
        <v>7000</v>
      </c>
      <c r="AN35" s="6">
        <v>7000</v>
      </c>
      <c r="AO35" s="6">
        <v>7000</v>
      </c>
      <c r="AP35" s="6">
        <v>7000</v>
      </c>
      <c r="AQ35" s="6">
        <f t="shared" si="24"/>
        <v>84000</v>
      </c>
    </row>
    <row r="36" spans="1:43" x14ac:dyDescent="0.15">
      <c r="A36" s="1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15">
      <c r="A37" s="1" t="s">
        <v>18</v>
      </c>
      <c r="C37" s="6">
        <f t="shared" ref="C37:O37" si="68">SUM(C23:C35)</f>
        <v>158873</v>
      </c>
      <c r="D37" s="6">
        <f t="shared" si="68"/>
        <v>163275.75</v>
      </c>
      <c r="E37" s="6">
        <f t="shared" si="68"/>
        <v>186909.70285714287</v>
      </c>
      <c r="F37" s="6">
        <f t="shared" si="68"/>
        <v>164526.88082582143</v>
      </c>
      <c r="G37" s="6">
        <f t="shared" si="68"/>
        <v>188411.29719952325</v>
      </c>
      <c r="H37" s="6">
        <f t="shared" si="68"/>
        <v>169789.68534260002</v>
      </c>
      <c r="I37" s="6">
        <f t="shared" si="68"/>
        <v>162132.28254121001</v>
      </c>
      <c r="J37" s="6">
        <f t="shared" si="68"/>
        <v>169184.14226131706</v>
      </c>
      <c r="K37" s="6">
        <f t="shared" si="68"/>
        <v>178294.50741152637</v>
      </c>
      <c r="L37" s="6">
        <f t="shared" si="68"/>
        <v>175917.64984515336</v>
      </c>
      <c r="M37" s="6">
        <f t="shared" si="68"/>
        <v>158278.14952936934</v>
      </c>
      <c r="N37" s="6">
        <f t="shared" si="68"/>
        <v>164283.99642693304</v>
      </c>
      <c r="O37" s="6">
        <f t="shared" si="68"/>
        <v>2039877.0442405969</v>
      </c>
      <c r="Q37" s="6">
        <f t="shared" ref="Q37:AC37" si="69">SUM(Q23:Q35)</f>
        <v>168451.88</v>
      </c>
      <c r="R37" s="6">
        <f t="shared" si="69"/>
        <v>166806.76500000001</v>
      </c>
      <c r="S37" s="6">
        <f t="shared" si="69"/>
        <v>183656.00880000001</v>
      </c>
      <c r="T37" s="6">
        <f t="shared" si="69"/>
        <v>174444.99367537079</v>
      </c>
      <c r="U37" s="6">
        <f t="shared" si="69"/>
        <v>198994.5622375427</v>
      </c>
      <c r="V37" s="6">
        <f t="shared" si="69"/>
        <v>180023.56646315599</v>
      </c>
      <c r="W37" s="6">
        <f t="shared" si="69"/>
        <v>182967.25293365234</v>
      </c>
      <c r="X37" s="6">
        <f t="shared" si="69"/>
        <v>184431.42546298887</v>
      </c>
      <c r="Y37" s="6">
        <f t="shared" si="69"/>
        <v>185910.23971761874</v>
      </c>
      <c r="Z37" s="6">
        <f t="shared" si="69"/>
        <v>187403.84211479491</v>
      </c>
      <c r="AA37" s="6">
        <f t="shared" si="69"/>
        <v>188912.38053594288</v>
      </c>
      <c r="AB37" s="6">
        <f t="shared" si="69"/>
        <v>190436.00434130232</v>
      </c>
      <c r="AC37" s="6">
        <f t="shared" si="69"/>
        <v>2192438.9212823696</v>
      </c>
      <c r="AE37" s="6">
        <f t="shared" ref="AE37:AQ37" si="70">SUM(AE23:AE35)</f>
        <v>193180.58299999998</v>
      </c>
      <c r="AF37" s="6">
        <f t="shared" si="70"/>
        <v>192953.07853125001</v>
      </c>
      <c r="AG37" s="6">
        <f t="shared" si="70"/>
        <v>196487.44795499998</v>
      </c>
      <c r="AH37" s="6">
        <f t="shared" si="70"/>
        <v>189888.41061488134</v>
      </c>
      <c r="AI37" s="6">
        <f t="shared" si="70"/>
        <v>193254.56179614586</v>
      </c>
      <c r="AJ37" s="6">
        <f t="shared" si="70"/>
        <v>192958.41196401179</v>
      </c>
      <c r="AK37" s="6">
        <f t="shared" si="70"/>
        <v>193426.4911056619</v>
      </c>
      <c r="AL37" s="6">
        <f t="shared" si="70"/>
        <v>193692.79601671852</v>
      </c>
      <c r="AM37" s="6">
        <f t="shared" si="70"/>
        <v>193961.7639768857</v>
      </c>
      <c r="AN37" s="6">
        <f t="shared" si="70"/>
        <v>194233.42161665455</v>
      </c>
      <c r="AO37" s="6">
        <f t="shared" si="70"/>
        <v>194507.79583282111</v>
      </c>
      <c r="AP37" s="6">
        <f t="shared" si="70"/>
        <v>194784.9137911493</v>
      </c>
      <c r="AQ37" s="6">
        <f t="shared" si="70"/>
        <v>2323329.6762011801</v>
      </c>
    </row>
    <row r="38" spans="1:43" x14ac:dyDescent="0.15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x14ac:dyDescent="0.15">
      <c r="A39" s="1" t="s">
        <v>91</v>
      </c>
      <c r="C39" s="6">
        <f>C20-C37</f>
        <v>120955.86400000006</v>
      </c>
      <c r="D39" s="6">
        <f t="shared" ref="D39:O39" si="71">D20-D37</f>
        <v>183012.46920000017</v>
      </c>
      <c r="E39" s="6">
        <f t="shared" si="71"/>
        <v>137959.94871085734</v>
      </c>
      <c r="F39" s="6">
        <f t="shared" si="71"/>
        <v>73897.086169058573</v>
      </c>
      <c r="G39" s="6">
        <f t="shared" si="71"/>
        <v>115623.52607013128</v>
      </c>
      <c r="H39" s="6">
        <f t="shared" si="71"/>
        <v>175577.9766460665</v>
      </c>
      <c r="I39" s="6">
        <f t="shared" si="71"/>
        <v>182579.61806393374</v>
      </c>
      <c r="J39" s="6">
        <f t="shared" si="71"/>
        <v>190483.57273868279</v>
      </c>
      <c r="K39" s="6">
        <f t="shared" si="71"/>
        <v>152691.21450084602</v>
      </c>
      <c r="L39" s="6">
        <f t="shared" si="71"/>
        <v>68066.110878823994</v>
      </c>
      <c r="M39" s="6">
        <f t="shared" si="71"/>
        <v>118425.91398937415</v>
      </c>
      <c r="N39" s="6">
        <f t="shared" si="71"/>
        <v>72088.363342249708</v>
      </c>
      <c r="O39" s="6">
        <f t="shared" si="71"/>
        <v>1591361.6643100202</v>
      </c>
      <c r="Q39" s="6">
        <f>Q20-Q37</f>
        <v>133129.50147521088</v>
      </c>
      <c r="R39" s="6">
        <f t="shared" ref="R39:AC39" si="72">R20-R37</f>
        <v>244529.07761000015</v>
      </c>
      <c r="S39" s="6">
        <f t="shared" si="72"/>
        <v>168327.96313239768</v>
      </c>
      <c r="T39" s="6">
        <f t="shared" si="72"/>
        <v>74910.192478498822</v>
      </c>
      <c r="U39" s="6">
        <f t="shared" si="72"/>
        <v>84159.940164527274</v>
      </c>
      <c r="V39" s="6">
        <f t="shared" si="72"/>
        <v>48127.79236562681</v>
      </c>
      <c r="W39" s="6">
        <f t="shared" si="72"/>
        <v>104092.2927034465</v>
      </c>
      <c r="X39" s="6">
        <f t="shared" si="72"/>
        <v>178630.61280016907</v>
      </c>
      <c r="Y39" s="6">
        <f t="shared" si="72"/>
        <v>234699.53806323354</v>
      </c>
      <c r="Z39" s="6">
        <f t="shared" si="72"/>
        <v>202213.63625062638</v>
      </c>
      <c r="AA39" s="6">
        <f t="shared" si="72"/>
        <v>173821.49182226424</v>
      </c>
      <c r="AB39" s="6">
        <f t="shared" si="72"/>
        <v>123973.92191939161</v>
      </c>
      <c r="AC39" s="6">
        <f t="shared" si="72"/>
        <v>1770615.9607853927</v>
      </c>
      <c r="AE39" s="6">
        <f>AE20-AE37</f>
        <v>259177.23004584352</v>
      </c>
      <c r="AF39" s="6">
        <f t="shared" ref="AF39:AQ39" si="73">AF20-AF37</f>
        <v>373837.4470718269</v>
      </c>
      <c r="AG39" s="6">
        <f t="shared" si="73"/>
        <v>188287.48362676031</v>
      </c>
      <c r="AH39" s="6">
        <f t="shared" si="73"/>
        <v>111091.09142240658</v>
      </c>
      <c r="AI39" s="6">
        <f t="shared" si="73"/>
        <v>126314.85066109209</v>
      </c>
      <c r="AJ39" s="6">
        <f t="shared" si="73"/>
        <v>138243.86263106024</v>
      </c>
      <c r="AK39" s="6">
        <f t="shared" si="73"/>
        <v>189206.99737296515</v>
      </c>
      <c r="AL39" s="6">
        <f t="shared" si="73"/>
        <v>284137.18656407087</v>
      </c>
      <c r="AM39" s="6">
        <f t="shared" si="73"/>
        <v>284869.26199152716</v>
      </c>
      <c r="AN39" s="6">
        <f t="shared" si="73"/>
        <v>235737.29557947099</v>
      </c>
      <c r="AO39" s="6">
        <f t="shared" si="73"/>
        <v>186732.90674774355</v>
      </c>
      <c r="AP39" s="6">
        <f t="shared" si="73"/>
        <v>104874.28703296333</v>
      </c>
      <c r="AQ39" s="6">
        <f t="shared" si="73"/>
        <v>2482509.9007477309</v>
      </c>
    </row>
    <row r="40" spans="1:43" x14ac:dyDescent="0.15">
      <c r="A40" s="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3" x14ac:dyDescent="0.15">
      <c r="A41" s="1" t="s">
        <v>94</v>
      </c>
      <c r="C41" s="8">
        <f>0.06/12*('BS Actual &amp; Forecast'!C32+'BS Actual &amp; Forecast'!C37)</f>
        <v>8237.4750000000004</v>
      </c>
      <c r="D41" s="8">
        <f>0.06/12*('BS Actual &amp; Forecast'!D32+'BS Actual &amp; Forecast'!D37)</f>
        <v>8162.4750000000004</v>
      </c>
      <c r="E41" s="8">
        <f>0.06/12*('BS Actual &amp; Forecast'!E32+'BS Actual &amp; Forecast'!E37)</f>
        <v>8087.4750000000004</v>
      </c>
      <c r="F41" s="8">
        <f>0.06/12*('BS Actual &amp; Forecast'!F32+'BS Actual &amp; Forecast'!F37)</f>
        <v>8012.4750000000004</v>
      </c>
      <c r="G41" s="8">
        <f>0.06/12*('BS Actual &amp; Forecast'!G32+'BS Actual &amp; Forecast'!G37)</f>
        <v>7937.4750000000004</v>
      </c>
      <c r="H41" s="8">
        <f>0.06/12*('BS Actual &amp; Forecast'!H32+'BS Actual &amp; Forecast'!H37)</f>
        <v>7862.4750000000004</v>
      </c>
      <c r="I41" s="8">
        <f>0.06/12*('BS Actual &amp; Forecast'!I32+'BS Actual &amp; Forecast'!I37)</f>
        <v>7787.4750000000004</v>
      </c>
      <c r="J41" s="8">
        <f>0.06/12*('BS Actual &amp; Forecast'!J32+'BS Actual &amp; Forecast'!J37)</f>
        <v>7712.4750000000004</v>
      </c>
      <c r="K41" s="8">
        <f>0.06/12*('BS Actual &amp; Forecast'!K32+'BS Actual &amp; Forecast'!K37)</f>
        <v>7637.4750000000004</v>
      </c>
      <c r="L41" s="8">
        <f>0.06/12*('BS Actual &amp; Forecast'!L32+'BS Actual &amp; Forecast'!L37)</f>
        <v>7562.4750000000004</v>
      </c>
      <c r="M41" s="8">
        <f>0.06/12*('BS Actual &amp; Forecast'!M32+'BS Actual &amp; Forecast'!M37)</f>
        <v>7487.4750000000004</v>
      </c>
      <c r="N41" s="8">
        <f>0.06/12*('BS Actual &amp; Forecast'!N32+'BS Actual &amp; Forecast'!N37)</f>
        <v>7412.4750000000004</v>
      </c>
      <c r="O41" s="8">
        <f>SUM(C41:N41)</f>
        <v>93899.700000000012</v>
      </c>
      <c r="Q41" s="8">
        <f>0.06/12*('BS Actual &amp; Forecast'!Q32+'BS Actual &amp; Forecast'!Q37)</f>
        <v>7337.4750000000004</v>
      </c>
      <c r="R41" s="8">
        <f>0.06/12*('BS Actual &amp; Forecast'!R32+'BS Actual &amp; Forecast'!R37)</f>
        <v>7262.4750000000004</v>
      </c>
      <c r="S41" s="8">
        <f>0.06/12*('BS Actual &amp; Forecast'!S32+'BS Actual &amp; Forecast'!S37)</f>
        <v>7187.4750000000004</v>
      </c>
      <c r="T41" s="8">
        <f>0.06/12*('BS Actual &amp; Forecast'!T32+'BS Actual &amp; Forecast'!T37)</f>
        <v>7112.4750000000004</v>
      </c>
      <c r="U41" s="8">
        <f>0.06/12*('BS Actual &amp; Forecast'!U32+'BS Actual &amp; Forecast'!U37)</f>
        <v>7037.4750000000004</v>
      </c>
      <c r="V41" s="8">
        <f>0.06/12*('BS Actual &amp; Forecast'!V32+'BS Actual &amp; Forecast'!V37)</f>
        <v>6962.4750000000004</v>
      </c>
      <c r="W41" s="8">
        <f>0.06/12*('BS Actual &amp; Forecast'!W32+'BS Actual &amp; Forecast'!W37)</f>
        <v>6887.4750000000004</v>
      </c>
      <c r="X41" s="8">
        <f>0.06/12*('BS Actual &amp; Forecast'!X32+'BS Actual &amp; Forecast'!X37)</f>
        <v>6812.4750000000004</v>
      </c>
      <c r="Y41" s="8">
        <f>0.06/12*('BS Actual &amp; Forecast'!Y32+'BS Actual &amp; Forecast'!Y37)</f>
        <v>6737.4750000000004</v>
      </c>
      <c r="Z41" s="8">
        <f>0.06/12*('BS Actual &amp; Forecast'!Z32+'BS Actual &amp; Forecast'!Z37)</f>
        <v>6662.4750000000004</v>
      </c>
      <c r="AA41" s="8">
        <f>0.06/12*('BS Actual &amp; Forecast'!AA32+'BS Actual &amp; Forecast'!AA37)</f>
        <v>6587.4750000000004</v>
      </c>
      <c r="AB41" s="8">
        <f>0.06/12*('BS Actual &amp; Forecast'!AB32+'BS Actual &amp; Forecast'!AB37)</f>
        <v>6512.4750000000004</v>
      </c>
      <c r="AC41" s="8">
        <f>SUM(Q41:AB41)</f>
        <v>83099.700000000012</v>
      </c>
      <c r="AE41" s="8">
        <f>0.06/12*('BS Actual &amp; Forecast'!AE32+'BS Actual &amp; Forecast'!AE37)</f>
        <v>6437.4750000000004</v>
      </c>
      <c r="AF41" s="8">
        <f>0.06/12*('BS Actual &amp; Forecast'!AF32+'BS Actual &amp; Forecast'!AF37)</f>
        <v>6362.4750000000004</v>
      </c>
      <c r="AG41" s="8">
        <f>0.06/12*('BS Actual &amp; Forecast'!AG32+'BS Actual &amp; Forecast'!AG37)</f>
        <v>6287.4750000000004</v>
      </c>
      <c r="AH41" s="8">
        <f>0.06/12*('BS Actual &amp; Forecast'!AH32+'BS Actual &amp; Forecast'!AH37)</f>
        <v>6212.4750000000004</v>
      </c>
      <c r="AI41" s="8">
        <f>0.06/12*('BS Actual &amp; Forecast'!AI32+'BS Actual &amp; Forecast'!AI37)</f>
        <v>6137.4750000000004</v>
      </c>
      <c r="AJ41" s="8">
        <f>0.06/12*('BS Actual &amp; Forecast'!AJ32+'BS Actual &amp; Forecast'!AJ37)</f>
        <v>6062.4750000000004</v>
      </c>
      <c r="AK41" s="8">
        <f>0.06/12*('BS Actual &amp; Forecast'!AK32+'BS Actual &amp; Forecast'!AK37)</f>
        <v>5052.0625</v>
      </c>
      <c r="AL41" s="8">
        <f>0.06/12*('BS Actual &amp; Forecast'!AL32+'BS Actual &amp; Forecast'!AL37)</f>
        <v>4041.65</v>
      </c>
      <c r="AM41" s="8">
        <f>0.06/12*('BS Actual &amp; Forecast'!AM32+'BS Actual &amp; Forecast'!AM37)</f>
        <v>3031.2375000000002</v>
      </c>
      <c r="AN41" s="8">
        <f>0.06/12*('BS Actual &amp; Forecast'!AN32+'BS Actual &amp; Forecast'!AN37)</f>
        <v>2020.825</v>
      </c>
      <c r="AO41" s="8">
        <f>0.06/12*('BS Actual &amp; Forecast'!AO32+'BS Actual &amp; Forecast'!AO37)</f>
        <v>1010.4125</v>
      </c>
      <c r="AP41" s="8">
        <f>0.06/12*('BS Actual &amp; Forecast'!AP32+'BS Actual &amp; Forecast'!AP37)</f>
        <v>0</v>
      </c>
      <c r="AQ41" s="8">
        <f>SUM(AE41:AP41)</f>
        <v>52656.037499999999</v>
      </c>
    </row>
    <row r="42" spans="1:43" x14ac:dyDescent="0.15">
      <c r="A42" s="1" t="s">
        <v>95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f>SUM(C42:N42)</f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/>
      <c r="X42" s="6"/>
      <c r="Y42" s="6"/>
      <c r="Z42" s="6"/>
      <c r="AA42" s="6"/>
      <c r="AB42" s="6"/>
      <c r="AC42" s="6">
        <f>SUM(Q42:AB42)</f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f>SUM(AE42:AP42)</f>
        <v>0</v>
      </c>
    </row>
    <row r="44" spans="1:43" x14ac:dyDescent="0.15">
      <c r="A44" s="1" t="s">
        <v>18</v>
      </c>
      <c r="C44" s="6">
        <f>SUM(C41:C42)</f>
        <v>8237.4750000000004</v>
      </c>
      <c r="D44" s="6">
        <f t="shared" ref="D44:O44" si="74">SUM(D41:D42)</f>
        <v>8162.4750000000004</v>
      </c>
      <c r="E44" s="6">
        <f t="shared" si="74"/>
        <v>8087.4750000000004</v>
      </c>
      <c r="F44" s="6">
        <f t="shared" si="74"/>
        <v>8012.4750000000004</v>
      </c>
      <c r="G44" s="6">
        <f t="shared" si="74"/>
        <v>7937.4750000000004</v>
      </c>
      <c r="H44" s="6">
        <f t="shared" si="74"/>
        <v>7862.4750000000004</v>
      </c>
      <c r="I44" s="6">
        <f t="shared" si="74"/>
        <v>7787.4750000000004</v>
      </c>
      <c r="J44" s="6">
        <f t="shared" si="74"/>
        <v>7712.4750000000004</v>
      </c>
      <c r="K44" s="6">
        <f t="shared" si="74"/>
        <v>7637.4750000000004</v>
      </c>
      <c r="L44" s="6">
        <f t="shared" si="74"/>
        <v>7562.4750000000004</v>
      </c>
      <c r="M44" s="6">
        <f t="shared" si="74"/>
        <v>7487.4750000000004</v>
      </c>
      <c r="N44" s="6">
        <f t="shared" si="74"/>
        <v>7412.4750000000004</v>
      </c>
      <c r="O44" s="6">
        <f t="shared" si="74"/>
        <v>93899.700000000012</v>
      </c>
      <c r="Q44" s="6">
        <f>SUM(Q41:Q42)</f>
        <v>7337.4750000000004</v>
      </c>
      <c r="R44" s="6">
        <f t="shared" ref="R44:AC44" si="75">SUM(R41:R42)</f>
        <v>7262.4750000000004</v>
      </c>
      <c r="S44" s="6">
        <f t="shared" si="75"/>
        <v>7187.4750000000004</v>
      </c>
      <c r="T44" s="6">
        <f t="shared" si="75"/>
        <v>7112.4750000000004</v>
      </c>
      <c r="U44" s="6">
        <f t="shared" si="75"/>
        <v>7037.4750000000004</v>
      </c>
      <c r="V44" s="6">
        <f t="shared" si="75"/>
        <v>6962.4750000000004</v>
      </c>
      <c r="W44" s="6">
        <f t="shared" si="75"/>
        <v>6887.4750000000004</v>
      </c>
      <c r="X44" s="6">
        <f t="shared" si="75"/>
        <v>6812.4750000000004</v>
      </c>
      <c r="Y44" s="6">
        <f t="shared" si="75"/>
        <v>6737.4750000000004</v>
      </c>
      <c r="Z44" s="6">
        <f t="shared" si="75"/>
        <v>6662.4750000000004</v>
      </c>
      <c r="AA44" s="6">
        <f t="shared" si="75"/>
        <v>6587.4750000000004</v>
      </c>
      <c r="AB44" s="6">
        <f t="shared" si="75"/>
        <v>6512.4750000000004</v>
      </c>
      <c r="AC44" s="6">
        <f t="shared" si="75"/>
        <v>83099.700000000012</v>
      </c>
      <c r="AE44" s="6">
        <f>SUM(AE41:AE42)</f>
        <v>6437.4750000000004</v>
      </c>
      <c r="AF44" s="6">
        <f t="shared" ref="AF44:AQ44" si="76">SUM(AF41:AF42)</f>
        <v>6362.4750000000004</v>
      </c>
      <c r="AG44" s="6">
        <f t="shared" si="76"/>
        <v>6287.4750000000004</v>
      </c>
      <c r="AH44" s="6">
        <f t="shared" si="76"/>
        <v>6212.4750000000004</v>
      </c>
      <c r="AI44" s="6">
        <f t="shared" si="76"/>
        <v>6137.4750000000004</v>
      </c>
      <c r="AJ44" s="6">
        <f t="shared" si="76"/>
        <v>6062.4750000000004</v>
      </c>
      <c r="AK44" s="6">
        <f t="shared" si="76"/>
        <v>5052.0625</v>
      </c>
      <c r="AL44" s="6">
        <f t="shared" si="76"/>
        <v>4041.65</v>
      </c>
      <c r="AM44" s="6">
        <f t="shared" si="76"/>
        <v>3031.2375000000002</v>
      </c>
      <c r="AN44" s="6">
        <f t="shared" si="76"/>
        <v>2020.825</v>
      </c>
      <c r="AO44" s="6">
        <f t="shared" si="76"/>
        <v>1010.4125</v>
      </c>
      <c r="AP44" s="6">
        <f t="shared" si="76"/>
        <v>0</v>
      </c>
      <c r="AQ44" s="6">
        <f t="shared" si="76"/>
        <v>52656.037499999999</v>
      </c>
    </row>
    <row r="46" spans="1:43" x14ac:dyDescent="0.15">
      <c r="A46" s="1" t="s">
        <v>53</v>
      </c>
      <c r="C46" s="30">
        <f>C39-C44</f>
        <v>112718.38900000005</v>
      </c>
      <c r="D46" s="30">
        <f t="shared" ref="D46:O46" si="77">D39-D44</f>
        <v>174849.99420000016</v>
      </c>
      <c r="E46" s="30">
        <f t="shared" si="77"/>
        <v>129872.47371085733</v>
      </c>
      <c r="F46" s="30">
        <f t="shared" si="77"/>
        <v>65884.611169058568</v>
      </c>
      <c r="G46" s="30">
        <f t="shared" si="77"/>
        <v>107686.05107013127</v>
      </c>
      <c r="H46" s="30">
        <f t="shared" si="77"/>
        <v>167715.50164606649</v>
      </c>
      <c r="I46" s="30">
        <f t="shared" si="77"/>
        <v>174792.14306393373</v>
      </c>
      <c r="J46" s="30">
        <f t="shared" si="77"/>
        <v>182771.09773868279</v>
      </c>
      <c r="K46" s="30">
        <f t="shared" si="77"/>
        <v>145053.73950084602</v>
      </c>
      <c r="L46" s="30">
        <f t="shared" si="77"/>
        <v>60503.635878823996</v>
      </c>
      <c r="M46" s="30">
        <f t="shared" si="77"/>
        <v>110938.43898937415</v>
      </c>
      <c r="N46" s="30">
        <f t="shared" si="77"/>
        <v>64675.888342249709</v>
      </c>
      <c r="O46" s="30">
        <f t="shared" si="77"/>
        <v>1497461.9643100202</v>
      </c>
      <c r="Q46" s="30">
        <f>Q39-Q44</f>
        <v>125792.02647521088</v>
      </c>
      <c r="R46" s="30">
        <f t="shared" ref="R46:AC46" si="78">R39-R44</f>
        <v>237266.60261000015</v>
      </c>
      <c r="S46" s="30">
        <f t="shared" si="78"/>
        <v>161140.48813239767</v>
      </c>
      <c r="T46" s="30">
        <f t="shared" si="78"/>
        <v>67797.717478498816</v>
      </c>
      <c r="U46" s="30">
        <f t="shared" si="78"/>
        <v>77122.465164527268</v>
      </c>
      <c r="V46" s="30">
        <f t="shared" si="78"/>
        <v>41165.317365626812</v>
      </c>
      <c r="W46" s="30">
        <f t="shared" si="78"/>
        <v>97204.81770344649</v>
      </c>
      <c r="X46" s="30">
        <f t="shared" si="78"/>
        <v>171818.13780016906</v>
      </c>
      <c r="Y46" s="30">
        <f t="shared" si="78"/>
        <v>227962.06306323354</v>
      </c>
      <c r="Z46" s="30">
        <f t="shared" si="78"/>
        <v>195551.16125062638</v>
      </c>
      <c r="AA46" s="30">
        <f t="shared" si="78"/>
        <v>167234.01682226424</v>
      </c>
      <c r="AB46" s="30">
        <f t="shared" si="78"/>
        <v>117461.4469193916</v>
      </c>
      <c r="AC46" s="30">
        <f t="shared" si="78"/>
        <v>1687516.2607853927</v>
      </c>
      <c r="AE46" s="30">
        <f>AE39-AE44</f>
        <v>252739.75504584351</v>
      </c>
      <c r="AF46" s="30">
        <f t="shared" ref="AF46:AQ46" si="79">AF39-AF44</f>
        <v>367474.97207182692</v>
      </c>
      <c r="AG46" s="30">
        <f t="shared" si="79"/>
        <v>182000.0086267603</v>
      </c>
      <c r="AH46" s="30">
        <f t="shared" si="79"/>
        <v>104878.61642240657</v>
      </c>
      <c r="AI46" s="30">
        <f t="shared" si="79"/>
        <v>120177.37566109208</v>
      </c>
      <c r="AJ46" s="30">
        <f t="shared" si="79"/>
        <v>132181.38763106024</v>
      </c>
      <c r="AK46" s="30">
        <f t="shared" si="79"/>
        <v>184154.93487296515</v>
      </c>
      <c r="AL46" s="30">
        <f t="shared" si="79"/>
        <v>280095.53656407085</v>
      </c>
      <c r="AM46" s="30">
        <f t="shared" si="79"/>
        <v>281838.02449152718</v>
      </c>
      <c r="AN46" s="30">
        <f t="shared" si="79"/>
        <v>233716.47057947097</v>
      </c>
      <c r="AO46" s="30">
        <f t="shared" si="79"/>
        <v>185722.49424774354</v>
      </c>
      <c r="AP46" s="30">
        <f t="shared" si="79"/>
        <v>104874.28703296333</v>
      </c>
      <c r="AQ46" s="30">
        <f t="shared" si="79"/>
        <v>2429853.8632477308</v>
      </c>
    </row>
    <row r="47" spans="1:43" x14ac:dyDescent="0.15">
      <c r="A47" t="s">
        <v>206</v>
      </c>
      <c r="C47" s="34">
        <f t="shared" ref="C47:J47" si="80">+C46/C16</f>
        <v>5.8004909800870322E-2</v>
      </c>
      <c r="D47" s="34">
        <f t="shared" si="80"/>
        <v>8.1798044200979345E-2</v>
      </c>
      <c r="E47" s="34">
        <f t="shared" si="80"/>
        <v>5.9565424130937301E-2</v>
      </c>
      <c r="F47" s="34">
        <f t="shared" si="80"/>
        <v>3.8134070395386591E-2</v>
      </c>
      <c r="G47" s="34">
        <f t="shared" si="80"/>
        <v>5.4191048369210085E-2</v>
      </c>
      <c r="H47" s="34">
        <f t="shared" si="80"/>
        <v>7.6727071398329419E-2</v>
      </c>
      <c r="I47" s="34">
        <f t="shared" si="80"/>
        <v>8.4173176782339529E-2</v>
      </c>
      <c r="J47" s="34">
        <f t="shared" si="80"/>
        <v>7.3684148081261627E-2</v>
      </c>
      <c r="K47" s="34">
        <f>+K46/K16</f>
        <v>6.7490149587311449E-2</v>
      </c>
      <c r="L47" s="34">
        <f>+L46/L16</f>
        <v>3.1989707041191882E-2</v>
      </c>
      <c r="M47" s="34">
        <f>+M46/M16</f>
        <v>6.1742929927035027E-2</v>
      </c>
      <c r="N47" s="34">
        <f>+N46/N16</f>
        <v>4.3505366940785696E-2</v>
      </c>
      <c r="O47" s="34">
        <f>+O46/O16</f>
        <v>6.2282773757850261E-2</v>
      </c>
      <c r="Q47" s="34">
        <f t="shared" ref="Q47:AC47" si="81">+Q46/Q16</f>
        <v>5.8812237168767788E-2</v>
      </c>
      <c r="R47" s="34">
        <f t="shared" si="81"/>
        <v>9.2867965937090791E-2</v>
      </c>
      <c r="S47" s="34">
        <f t="shared" si="81"/>
        <v>7.279120544151392E-2</v>
      </c>
      <c r="T47" s="34">
        <f t="shared" si="81"/>
        <v>3.4802195098091314E-2</v>
      </c>
      <c r="U47" s="34">
        <f t="shared" si="81"/>
        <v>4.1672433495044486E-2</v>
      </c>
      <c r="V47" s="34">
        <f t="shared" si="81"/>
        <v>2.6884048900543283E-2</v>
      </c>
      <c r="W47" s="34">
        <f t="shared" si="81"/>
        <v>5.0793373281339857E-2</v>
      </c>
      <c r="X47" s="34">
        <f t="shared" si="81"/>
        <v>7.0987098495118736E-2</v>
      </c>
      <c r="Y47" s="34">
        <f t="shared" si="81"/>
        <v>8.1296991334569177E-2</v>
      </c>
      <c r="Z47" s="34">
        <f t="shared" si="81"/>
        <v>7.0266772142626319E-2</v>
      </c>
      <c r="AA47" s="34">
        <f t="shared" si="81"/>
        <v>6.4545288265763084E-2</v>
      </c>
      <c r="AB47" s="34">
        <f t="shared" si="81"/>
        <v>5.2303064233028475E-2</v>
      </c>
      <c r="AC47" s="34">
        <f t="shared" si="81"/>
        <v>6.2511224990362366E-2</v>
      </c>
      <c r="AE47" s="34">
        <f t="shared" ref="AE47:AQ47" si="82">+AE46/AE16</f>
        <v>7.822030411759949E-2</v>
      </c>
      <c r="AF47" s="34">
        <f t="shared" si="82"/>
        <v>9.0768094677157171E-2</v>
      </c>
      <c r="AG47" s="34">
        <f t="shared" si="82"/>
        <v>7.0950571498478998E-2</v>
      </c>
      <c r="AH47" s="34">
        <f t="shared" si="82"/>
        <v>5.2268650711675357E-2</v>
      </c>
      <c r="AI47" s="34">
        <f t="shared" si="82"/>
        <v>5.6409048070506354E-2</v>
      </c>
      <c r="AJ47" s="34">
        <f t="shared" si="82"/>
        <v>5.9864347758178241E-2</v>
      </c>
      <c r="AK47" s="34">
        <f t="shared" si="82"/>
        <v>7.2192427120732122E-2</v>
      </c>
      <c r="AL47" s="34">
        <f t="shared" si="82"/>
        <v>8.7927363322177085E-2</v>
      </c>
      <c r="AM47" s="34">
        <f t="shared" si="82"/>
        <v>8.8289399351741057E-2</v>
      </c>
      <c r="AN47" s="34">
        <f t="shared" si="82"/>
        <v>8.153455383085921E-2</v>
      </c>
      <c r="AO47" s="34">
        <f t="shared" si="82"/>
        <v>7.3072927283451411E-2</v>
      </c>
      <c r="AP47" s="34">
        <f t="shared" si="82"/>
        <v>5.2496779714025908E-2</v>
      </c>
      <c r="AQ47" s="34">
        <f t="shared" si="82"/>
        <v>7.4709014556590181E-2</v>
      </c>
    </row>
    <row r="48" spans="1:43" x14ac:dyDescent="0.15">
      <c r="A48" t="s">
        <v>205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111" t="s">
        <v>106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>
        <f>(+AC46-O46)/O46</f>
        <v>0.12691761193610224</v>
      </c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>
        <f>(+AQ46-AC46)/AC46</f>
        <v>0.43989952554107192</v>
      </c>
    </row>
    <row r="50" spans="1:43" x14ac:dyDescent="0.15">
      <c r="A50" s="29" t="s">
        <v>32</v>
      </c>
      <c r="C50" s="23">
        <f>+C46+C44+C33</f>
        <v>126430.86400000006</v>
      </c>
      <c r="D50" s="23">
        <f t="shared" ref="D50:O50" si="83">+D46+D44+D33</f>
        <v>188487.46920000017</v>
      </c>
      <c r="E50" s="23">
        <f t="shared" si="83"/>
        <v>143434.94871085734</v>
      </c>
      <c r="F50" s="23">
        <f t="shared" si="83"/>
        <v>79372.086169058573</v>
      </c>
      <c r="G50" s="23">
        <f t="shared" si="83"/>
        <v>121098.52607013128</v>
      </c>
      <c r="H50" s="23">
        <f t="shared" si="83"/>
        <v>181052.9766460665</v>
      </c>
      <c r="I50" s="23">
        <f t="shared" si="83"/>
        <v>188054.61806393374</v>
      </c>
      <c r="J50" s="23">
        <f t="shared" si="83"/>
        <v>195958.57273868279</v>
      </c>
      <c r="K50" s="23">
        <f t="shared" si="83"/>
        <v>158166.21450084602</v>
      </c>
      <c r="L50" s="23">
        <f t="shared" si="83"/>
        <v>73541.110878823994</v>
      </c>
      <c r="M50" s="23">
        <f t="shared" si="83"/>
        <v>123900.91398937415</v>
      </c>
      <c r="N50" s="23">
        <f t="shared" si="83"/>
        <v>82438.363342249708</v>
      </c>
      <c r="O50" s="23">
        <f t="shared" si="83"/>
        <v>1661936.6643100202</v>
      </c>
      <c r="Q50" s="23">
        <f>+Q46+Q44+Q33</f>
        <v>138979.50147521088</v>
      </c>
      <c r="R50" s="23">
        <f t="shared" ref="R50:AC50" si="84">+R46+R44+R33</f>
        <v>250379.07761000015</v>
      </c>
      <c r="S50" s="23">
        <f t="shared" si="84"/>
        <v>174177.96313239768</v>
      </c>
      <c r="T50" s="23">
        <f t="shared" si="84"/>
        <v>80760.192478498822</v>
      </c>
      <c r="U50" s="23">
        <f t="shared" si="84"/>
        <v>90009.940164527274</v>
      </c>
      <c r="V50" s="23">
        <f t="shared" si="84"/>
        <v>53977.79236562681</v>
      </c>
      <c r="W50" s="23">
        <f t="shared" si="84"/>
        <v>109942.2927034465</v>
      </c>
      <c r="X50" s="23">
        <f t="shared" si="84"/>
        <v>184480.61280016907</v>
      </c>
      <c r="Y50" s="23">
        <f t="shared" si="84"/>
        <v>240549.53806323354</v>
      </c>
      <c r="Z50" s="23">
        <f t="shared" si="84"/>
        <v>208063.63625062638</v>
      </c>
      <c r="AA50" s="23">
        <f t="shared" si="84"/>
        <v>179671.49182226424</v>
      </c>
      <c r="AB50" s="23">
        <f t="shared" si="84"/>
        <v>129823.92191939161</v>
      </c>
      <c r="AC50" s="23">
        <f t="shared" si="84"/>
        <v>1840815.9607853927</v>
      </c>
      <c r="AE50" s="23">
        <f>+AE46+AE44+AE33</f>
        <v>265177.23004584352</v>
      </c>
      <c r="AF50" s="23">
        <f t="shared" ref="AF50:AQ50" si="85">+AF46+AF44+AF33</f>
        <v>379837.4470718269</v>
      </c>
      <c r="AG50" s="23">
        <f t="shared" si="85"/>
        <v>194287.48362676031</v>
      </c>
      <c r="AH50" s="23">
        <f t="shared" si="85"/>
        <v>117091.09142240658</v>
      </c>
      <c r="AI50" s="23">
        <f t="shared" si="85"/>
        <v>132314.85066109209</v>
      </c>
      <c r="AJ50" s="23">
        <f t="shared" si="85"/>
        <v>144243.86263106024</v>
      </c>
      <c r="AK50" s="23">
        <f t="shared" si="85"/>
        <v>195206.99737296515</v>
      </c>
      <c r="AL50" s="23">
        <f t="shared" si="85"/>
        <v>290137.18656407087</v>
      </c>
      <c r="AM50" s="23">
        <f t="shared" si="85"/>
        <v>290869.26199152716</v>
      </c>
      <c r="AN50" s="23">
        <f t="shared" si="85"/>
        <v>241737.29557947099</v>
      </c>
      <c r="AO50" s="23">
        <f t="shared" si="85"/>
        <v>192732.90674774355</v>
      </c>
      <c r="AP50" s="23">
        <f t="shared" si="85"/>
        <v>110874.28703296333</v>
      </c>
      <c r="AQ50" s="23">
        <f t="shared" si="85"/>
        <v>2554509.9007477309</v>
      </c>
    </row>
  </sheetData>
  <pageMargins left="0.75" right="0.75" top="1" bottom="1" header="0.5" footer="0.5"/>
  <pageSetup scale="62" orientation="landscape"/>
  <headerFooter alignWithMargins="0"/>
  <colBreaks count="2" manualBreakCount="2">
    <brk id="15" max="1048575" man="1"/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P52"/>
  <sheetViews>
    <sheetView workbookViewId="0">
      <pane xSplit="2" ySplit="7" topLeftCell="AG26" activePane="bottomRight" state="frozen"/>
      <selection activeCell="AA48" sqref="AA48"/>
      <selection pane="topRight" activeCell="AA48" sqref="AA48"/>
      <selection pane="bottomLeft" activeCell="AA48" sqref="AA48"/>
      <selection pane="bottomRight" activeCell="AY53" sqref="AY53"/>
    </sheetView>
  </sheetViews>
  <sheetFormatPr baseColWidth="10" defaultColWidth="8.83203125" defaultRowHeight="13" outlineLevelCol="1" x14ac:dyDescent="0.15"/>
  <cols>
    <col min="1" max="1" width="59.83203125" customWidth="1"/>
    <col min="2" max="2" width="5.1640625" customWidth="1"/>
    <col min="3" max="3" width="11.33203125" customWidth="1" outlineLevel="1"/>
    <col min="4" max="4" width="12.33203125" customWidth="1" outlineLevel="1"/>
    <col min="5" max="7" width="11.33203125" customWidth="1" outlineLevel="1"/>
    <col min="8" max="8" width="11.1640625" customWidth="1" outlineLevel="1"/>
    <col min="9" max="13" width="11.33203125" customWidth="1" outlineLevel="1"/>
    <col min="14" max="14" width="11.33203125" bestFit="1" customWidth="1"/>
    <col min="15" max="15" width="1.83203125" customWidth="1"/>
    <col min="16" max="16" width="2" customWidth="1"/>
    <col min="17" max="21" width="11.33203125" customWidth="1" outlineLevel="1"/>
    <col min="22" max="22" width="12.1640625" customWidth="1" outlineLevel="1"/>
    <col min="23" max="24" width="11.33203125" customWidth="1" outlineLevel="1"/>
    <col min="25" max="27" width="12.33203125" customWidth="1" outlineLevel="1"/>
    <col min="28" max="28" width="12.33203125" bestFit="1" customWidth="1"/>
    <col min="29" max="29" width="2.5" customWidth="1"/>
    <col min="30" max="30" width="2.33203125" customWidth="1"/>
    <col min="31" max="35" width="11.33203125" customWidth="1" outlineLevel="1"/>
    <col min="36" max="36" width="11.6640625" customWidth="1" outlineLevel="1"/>
    <col min="37" max="41" width="12.33203125" customWidth="1" outlineLevel="1"/>
    <col min="42" max="42" width="12.33203125" bestFit="1" customWidth="1"/>
  </cols>
  <sheetData>
    <row r="1" spans="1:42" x14ac:dyDescent="0.15">
      <c r="A1" s="1" t="str">
        <f>+'IS Actual &amp; Forecast'!A1</f>
        <v>ABC Construction Company</v>
      </c>
    </row>
    <row r="2" spans="1:42" ht="20" x14ac:dyDescent="0.2">
      <c r="A2" s="2" t="s">
        <v>55</v>
      </c>
      <c r="H2" s="38" t="s">
        <v>82</v>
      </c>
      <c r="V2" s="38" t="s">
        <v>84</v>
      </c>
      <c r="AJ2" s="38" t="s">
        <v>90</v>
      </c>
    </row>
    <row r="3" spans="1:42" x14ac:dyDescent="0.15">
      <c r="A3" s="22"/>
      <c r="AB3" t="s">
        <v>212</v>
      </c>
    </row>
    <row r="4" spans="1:42" x14ac:dyDescent="0.15">
      <c r="A4" s="22"/>
      <c r="AB4">
        <v>731685</v>
      </c>
    </row>
    <row r="5" spans="1:42" x14ac:dyDescent="0.15">
      <c r="D5" s="25"/>
      <c r="F5" s="25"/>
    </row>
    <row r="6" spans="1:42" x14ac:dyDescent="0.15"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36"/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  <c r="W6" s="47" t="s">
        <v>99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/>
      <c r="AD6" s="36"/>
      <c r="AE6" s="47" t="s">
        <v>99</v>
      </c>
      <c r="AF6" s="47" t="s">
        <v>99</v>
      </c>
      <c r="AG6" s="47" t="s">
        <v>99</v>
      </c>
      <c r="AH6" s="47" t="s">
        <v>99</v>
      </c>
      <c r="AI6" s="47" t="s">
        <v>99</v>
      </c>
      <c r="AJ6" s="47" t="s">
        <v>99</v>
      </c>
      <c r="AK6" s="47" t="s">
        <v>99</v>
      </c>
      <c r="AL6" s="47" t="s">
        <v>99</v>
      </c>
      <c r="AM6" s="47" t="s">
        <v>99</v>
      </c>
      <c r="AN6" s="47" t="s">
        <v>99</v>
      </c>
      <c r="AO6" s="47" t="s">
        <v>99</v>
      </c>
      <c r="AP6" s="47" t="s">
        <v>99</v>
      </c>
    </row>
    <row r="7" spans="1:42" x14ac:dyDescent="0.15">
      <c r="A7" s="25" t="s">
        <v>57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41"/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</row>
    <row r="9" spans="1:42" x14ac:dyDescent="0.15">
      <c r="A9" s="16" t="s">
        <v>58</v>
      </c>
    </row>
    <row r="10" spans="1:42" x14ac:dyDescent="0.15">
      <c r="A10" t="s">
        <v>56</v>
      </c>
      <c r="C10" s="31">
        <f>+'POM Actual &amp; Forecast'!C72</f>
        <v>1143470.5249999999</v>
      </c>
      <c r="D10" s="31">
        <f>+'POM Actual &amp; Forecast'!D72</f>
        <v>1340164.5615462058</v>
      </c>
      <c r="E10" s="31">
        <f>+'POM Actual &amp; Forecast'!E72</f>
        <v>1381504.0121351893</v>
      </c>
      <c r="F10" s="31">
        <f>+'POM Actual &amp; Forecast'!F72</f>
        <v>1024988.879509558</v>
      </c>
      <c r="G10" s="31">
        <f>+'POM Actual &amp; Forecast'!G72</f>
        <v>1234820.0419533211</v>
      </c>
      <c r="H10" s="31">
        <f>+'POM Actual &amp; Forecast'!H72</f>
        <v>1445426.0000354236</v>
      </c>
      <c r="I10" s="31">
        <f>+'POM Actual &amp; Forecast'!I72</f>
        <v>1515778.7802452419</v>
      </c>
      <c r="J10" s="31">
        <f>+'POM Actual &amp; Forecast'!J72</f>
        <v>2053094.8316713092</v>
      </c>
      <c r="K10" s="31">
        <f>+'POM Actual &amp; Forecast'!K72</f>
        <v>1763674.1533960719</v>
      </c>
      <c r="L10" s="39">
        <f>+'POM Actual &amp; Forecast'!L72</f>
        <v>1470733.9138978163</v>
      </c>
      <c r="M10" s="31">
        <f>+'POM Actual &amp; Forecast'!M72</f>
        <v>1439566.2431089126</v>
      </c>
      <c r="N10" s="31">
        <f>+'POM Actual &amp; Forecast'!N72</f>
        <v>826312.63223657687</v>
      </c>
      <c r="Q10" s="31">
        <f>+'POM Actual &amp; Forecast'!Q72</f>
        <v>975031.52508366399</v>
      </c>
      <c r="R10" s="31">
        <f>+'POM Actual &amp; Forecast'!R72</f>
        <v>1323411.724154375</v>
      </c>
      <c r="S10" s="31">
        <f>+'POM Actual &amp; Forecast'!S72</f>
        <v>1523479.6571072412</v>
      </c>
      <c r="T10" s="31">
        <f>+'POM Actual &amp; Forecast'!T72</f>
        <v>1335275.4985574265</v>
      </c>
      <c r="U10" s="31">
        <f>+'POM Actual &amp; Forecast'!U72</f>
        <v>1176083.0876323741</v>
      </c>
      <c r="V10" s="31">
        <f>+'POM Actual &amp; Forecast'!V72</f>
        <v>1051408.8432631069</v>
      </c>
      <c r="W10" s="31">
        <f>+'POM Actual &amp; Forecast'!W72</f>
        <v>1254187.6961169946</v>
      </c>
      <c r="X10" s="31">
        <f>+'POM Actual &amp; Forecast'!X72</f>
        <v>1165844.3756070908</v>
      </c>
      <c r="Y10" s="31">
        <f>+'POM Actual &amp; Forecast'!Y72</f>
        <v>1133264.3356445113</v>
      </c>
      <c r="Z10" s="31">
        <f>+'POM Actual &amp; Forecast'!Z72</f>
        <v>560804.4638041337</v>
      </c>
      <c r="AA10" s="31">
        <f>+'POM Actual &amp; Forecast'!AA72</f>
        <v>813696.84187758435</v>
      </c>
      <c r="AB10" s="31">
        <f>+'POM Actual &amp; Forecast'!AB72</f>
        <v>731684.65382054681</v>
      </c>
      <c r="AC10" s="31"/>
      <c r="AE10" s="31">
        <f>+'POM Actual &amp; Forecast'!AE72</f>
        <v>376231.20845885004</v>
      </c>
      <c r="AF10" s="31">
        <f>+'POM Actual &amp; Forecast'!AF72</f>
        <v>756785.42740221124</v>
      </c>
      <c r="AG10" s="31">
        <f>+'POM Actual &amp; Forecast'!AG72</f>
        <v>1626351.0324124354</v>
      </c>
      <c r="AH10" s="31">
        <f>+'POM Actual &amp; Forecast'!AH72</f>
        <v>2327430.6976593062</v>
      </c>
      <c r="AI10" s="31">
        <f>+'POM Actual &amp; Forecast'!AI72</f>
        <v>2536303.172520258</v>
      </c>
      <c r="AJ10" s="31">
        <f>+'POM Actual &amp; Forecast'!AJ72</f>
        <v>2478824.0238812566</v>
      </c>
      <c r="AK10" s="31">
        <f>+'POM Actual &amp; Forecast'!AK72</f>
        <v>2248155.3767422223</v>
      </c>
      <c r="AL10" s="31">
        <f>+'POM Actual &amp; Forecast'!AL72</f>
        <v>1956227.8048164956</v>
      </c>
      <c r="AM10" s="31">
        <f>+'POM Actual &amp; Forecast'!AM72</f>
        <v>1710970.1990402774</v>
      </c>
      <c r="AN10" s="31">
        <f>+'POM Actual &amp; Forecast'!AN72</f>
        <v>1738996.2862710957</v>
      </c>
      <c r="AO10" s="31">
        <f>+'POM Actual &amp; Forecast'!AO72</f>
        <v>1812723.9630548502</v>
      </c>
      <c r="AP10" s="31">
        <f>+'POM Actual &amp; Forecast'!AP72</f>
        <v>1367252.4353387253</v>
      </c>
    </row>
    <row r="11" spans="1:42" x14ac:dyDescent="0.15">
      <c r="A11" t="s">
        <v>59</v>
      </c>
      <c r="C11" s="23">
        <v>2946231</v>
      </c>
      <c r="D11" s="23">
        <f>+C11-SUM('POM Actual &amp; Forecast'!D58:D59)</f>
        <v>2924855.1839999999</v>
      </c>
      <c r="E11" s="23">
        <f>+D11-SUM('POM Actual &amp; Forecast'!E58:E59)</f>
        <v>2968461.84864</v>
      </c>
      <c r="F11" s="23">
        <f>+E11-SUM('POM Actual &amp; Forecast'!F58:F59)</f>
        <v>2916630.5514671998</v>
      </c>
      <c r="G11" s="23">
        <f>+F11-SUM('POM Actual &amp; Forecast'!G58:G59)</f>
        <v>2876887.4373143036</v>
      </c>
      <c r="H11" s="23">
        <f>+G11-SUM('POM Actual &amp; Forecast'!H58:H59)</f>
        <v>2920604.8628824893</v>
      </c>
      <c r="I11" s="23">
        <f>+H11-SUM('POM Actual &amp; Forecast'!I58:I59)</f>
        <v>2858307.531447825</v>
      </c>
      <c r="J11" s="23">
        <f>+I11-SUM('POM Actual &amp; Forecast'!J58:J59)</f>
        <v>2932721.5414478253</v>
      </c>
      <c r="K11" s="23">
        <f>+J11-SUM('POM Actual &amp; Forecast'!K58:K59)</f>
        <v>2975706.7001377437</v>
      </c>
      <c r="L11" s="23">
        <f>+K11-SUM('POM Actual &amp; Forecast'!L58:L59)</f>
        <v>3013533.6397848721</v>
      </c>
      <c r="M11" s="23">
        <f>+L11-SUM('POM Actual &amp; Forecast'!M58:M59)</f>
        <v>2959630.2507877145</v>
      </c>
      <c r="N11" s="23">
        <f>+M11-SUM('POM Actual &amp; Forecast'!N58:N59)</f>
        <v>2915031.692340699</v>
      </c>
      <c r="Q11" s="23">
        <f>N11-SUM('POM Actual &amp; Forecast'!Q58:Q59)</f>
        <v>2850865.4409629945</v>
      </c>
      <c r="R11" s="23">
        <f>+Q11-SUM('POM Actual &amp; Forecast'!R58:R59)</f>
        <v>2927511.8712629946</v>
      </c>
      <c r="S11" s="23">
        <f>+R11-SUM('POM Actual &amp; Forecast'!S58:S59)</f>
        <v>2971786.5847136108</v>
      </c>
      <c r="T11" s="23">
        <f>+S11-SUM('POM Actual &amp; Forecast'!T58:T59)</f>
        <v>3010748.3325501531</v>
      </c>
      <c r="U11" s="23">
        <f>+T11-SUM('POM Actual &amp; Forecast'!U58:U59)</f>
        <v>2955227.8418830805</v>
      </c>
      <c r="V11" s="23">
        <f>+U11-SUM('POM Actual &amp; Forecast'!V58:V59)</f>
        <v>2709291.0152306166</v>
      </c>
      <c r="W11" s="23">
        <f>+'Assumptions Summary'!W22</f>
        <v>2468879.0256096502</v>
      </c>
      <c r="X11" s="23">
        <f>+'Assumptions Summary'!X22</f>
        <v>3106136.4564123373</v>
      </c>
      <c r="Y11" s="23">
        <f>+'Assumptions Summary'!Y22</f>
        <v>3744209.787765827</v>
      </c>
      <c r="Z11" s="23">
        <f>+'Assumptions Summary'!Z22</f>
        <v>4655872.6446084334</v>
      </c>
      <c r="AA11" s="23">
        <f>+'Assumptions Summary'!AA22</f>
        <v>4478281.8495454071</v>
      </c>
      <c r="AB11" s="23">
        <f>+'Assumptions Summary'!AB22</f>
        <v>4433679.6338142343</v>
      </c>
      <c r="AC11" s="23"/>
      <c r="AE11" s="23">
        <f>+'Assumptions Summary'!AE22</f>
        <v>4564093.6863484373</v>
      </c>
      <c r="AF11" s="23">
        <f>+'Assumptions Summary'!AF22</f>
        <v>6066359.158624527</v>
      </c>
      <c r="AG11" s="23">
        <f>+'Assumptions Summary'!AG22</f>
        <v>4960252.4736395711</v>
      </c>
      <c r="AH11" s="23">
        <f>+'Assumptions Summary'!AH22</f>
        <v>3352577.2310264581</v>
      </c>
      <c r="AI11" s="23">
        <f>+'Assumptions Summary'!AI22</f>
        <v>2964844.8136960687</v>
      </c>
      <c r="AJ11" s="23">
        <f>+'Assumptions Summary'!AJ22</f>
        <v>3109242.504805482</v>
      </c>
      <c r="AK11" s="23">
        <f>+'Assumptions Summary'!AK22</f>
        <v>3410548.6457965625</v>
      </c>
      <c r="AL11" s="23">
        <f>+'Assumptions Summary'!AL22</f>
        <v>4111103.2506172122</v>
      </c>
      <c r="AM11" s="23">
        <f>+'Assumptions Summary'!AM22</f>
        <v>4570713.7075128546</v>
      </c>
      <c r="AN11" s="23">
        <f>+'Assumptions Summary'!AN22</f>
        <v>4342052.7728972379</v>
      </c>
      <c r="AO11" s="23">
        <f>+'Assumptions Summary'!AO22</f>
        <v>3875787.8944886317</v>
      </c>
      <c r="AP11" s="23">
        <f>+'Assumptions Summary'!AP22</f>
        <v>3253188.4273779038</v>
      </c>
    </row>
    <row r="12" spans="1:42" x14ac:dyDescent="0.15">
      <c r="A12" t="s">
        <v>60</v>
      </c>
      <c r="C12" s="88">
        <v>163581</v>
      </c>
      <c r="D12" s="23">
        <f>+C12-SUM('POM Actual &amp; Forecast'!D60:D61)</f>
        <v>181493.93380800006</v>
      </c>
      <c r="E12" s="23">
        <f>+D12-SUM('POM Actual &amp; Forecast'!E60:E61)</f>
        <v>144384.66219936009</v>
      </c>
      <c r="F12" s="23">
        <f>+E12-SUM('POM Actual &amp; Forecast'!F60:F61)</f>
        <v>189063.24036231381</v>
      </c>
      <c r="G12" s="23">
        <f>+F12-SUM('POM Actual &amp; Forecast'!G60:G61)</f>
        <v>222725.65804981673</v>
      </c>
      <c r="H12" s="23">
        <f>+G12-SUM('POM Actual &amp; Forecast'!H60:H61)</f>
        <v>185915.58572140452</v>
      </c>
      <c r="I12" s="23">
        <f>+H12-SUM('POM Actual &amp; Forecast'!I60:I61)</f>
        <v>237871.56013791473</v>
      </c>
      <c r="J12" s="23">
        <f>+I12-SUM('POM Actual &amp; Forecast'!J60:J61)</f>
        <v>174247.58158791461</v>
      </c>
      <c r="K12" s="23">
        <f>+J12-SUM('POM Actual &amp; Forecast'!K60:K61)</f>
        <v>137882.13733624364</v>
      </c>
      <c r="L12" s="23">
        <f>+K12-SUM('POM Actual &amp; Forecast'!L60:L61)</f>
        <v>104934.87290359498</v>
      </c>
      <c r="M12" s="23">
        <f>+L12-SUM('POM Actual &amp; Forecast'!M60:M61)</f>
        <v>150537.13999519055</v>
      </c>
      <c r="N12" s="23">
        <f>+M12-SUM('POM Actual &amp; Forecast'!N60:N61)</f>
        <v>188044.52764913067</v>
      </c>
      <c r="Q12" s="23">
        <f>N12-SUM('POM Actual &amp; Forecast'!Q60:Q61)</f>
        <v>243163.33758257888</v>
      </c>
      <c r="R12" s="23">
        <f>+Q12-SUM('POM Actual &amp; Forecast'!R60:R61)</f>
        <v>178856.98256087885</v>
      </c>
      <c r="S12" s="23">
        <f>+R12-SUM('POM Actual &amp; Forecast'!S60:S61)</f>
        <v>141621.94854891067</v>
      </c>
      <c r="T12" s="23">
        <f>+S12-SUM('POM Actual &amp; Forecast'!T60:T61)</f>
        <v>107647.30443544593</v>
      </c>
      <c r="U12" s="23">
        <f>+T12-SUM('POM Actual &amp; Forecast'!U60:U61)</f>
        <v>154673.16003045649</v>
      </c>
      <c r="V12" s="23">
        <f>+U12-SUM('POM Actual &amp; Forecast'!V60:V61)</f>
        <v>193765.13446601923</v>
      </c>
      <c r="W12" s="23">
        <f>+'Assumptions Summary'!W26</f>
        <v>146486.82865644898</v>
      </c>
      <c r="X12" s="23">
        <f>+'Assumptions Summary'!X26</f>
        <v>184201.11543840606</v>
      </c>
      <c r="Y12" s="23">
        <f>+'Assumptions Summary'!Y26</f>
        <v>222040.34787913624</v>
      </c>
      <c r="Z12" s="23">
        <f>+'Assumptions Summary'!Z26</f>
        <v>238840.99586919235</v>
      </c>
      <c r="AA12" s="23">
        <f>+'Assumptions Summary'!AA26</f>
        <v>231079.34343654299</v>
      </c>
      <c r="AB12" s="23">
        <f>+'Assumptions Summary'!AB26</f>
        <v>207979.8810043768</v>
      </c>
      <c r="AC12" s="23"/>
      <c r="AE12" s="23">
        <f>+'Assumptions Summary'!AE26</f>
        <v>138938.47114979476</v>
      </c>
      <c r="AF12" s="23">
        <f>+'Assumptions Summary'!AF26</f>
        <v>313024.13258502563</v>
      </c>
      <c r="AG12" s="23">
        <f>+'Assumptions Summary'!AG26</f>
        <v>283105.22538339614</v>
      </c>
      <c r="AH12" s="23">
        <f>+'Assumptions Summary'!AH26</f>
        <v>194297.08952539699</v>
      </c>
      <c r="AI12" s="23">
        <f>+'Assumptions Summary'!AI26</f>
        <v>175822.1924401157</v>
      </c>
      <c r="AJ12" s="23">
        <f>+'Assumptions Summary'!AJ26</f>
        <v>184385.31133148784</v>
      </c>
      <c r="AK12" s="23">
        <f>+'Assumptions Summary'!AK26</f>
        <v>202253.46620421472</v>
      </c>
      <c r="AL12" s="23">
        <f>+'Assumptions Summary'!AL26</f>
        <v>243797.9834668347</v>
      </c>
      <c r="AM12" s="23">
        <f>+'Assumptions Summary'!AM26</f>
        <v>271053.95242227387</v>
      </c>
      <c r="AN12" s="23">
        <f>+'Assumptions Summary'!AN26</f>
        <v>257493.8272299525</v>
      </c>
      <c r="AO12" s="23">
        <f>+'Assumptions Summary'!AO26</f>
        <v>229843.23560339556</v>
      </c>
      <c r="AP12" s="23">
        <f>+'Assumptions Summary'!AP26</f>
        <v>192921.63929799196</v>
      </c>
    </row>
    <row r="13" spans="1:42" x14ac:dyDescent="0.15">
      <c r="A13" t="s">
        <v>117</v>
      </c>
      <c r="C13" s="23">
        <v>209134</v>
      </c>
      <c r="D13" s="23">
        <f>0.23*D33</f>
        <v>132807.2555</v>
      </c>
      <c r="E13" s="23">
        <f>0.29*E33</f>
        <v>162429.04770499998</v>
      </c>
      <c r="F13" s="23">
        <f>0.37*F33</f>
        <v>248684.47303799997</v>
      </c>
      <c r="G13" s="23">
        <f>0.32*G33</f>
        <v>193570.61685119997</v>
      </c>
      <c r="H13" s="23">
        <f>0.38*H33</f>
        <v>236761.060736124</v>
      </c>
      <c r="I13" s="23">
        <f>0.32*I33</f>
        <v>219315.50889240962</v>
      </c>
      <c r="J13" s="23">
        <f>0.23*J33</f>
        <v>162362.01267691201</v>
      </c>
      <c r="K13" s="23">
        <f>0.22*K33</f>
        <v>142878.57115568258</v>
      </c>
      <c r="L13" s="23">
        <f>0.34*L33</f>
        <v>216396.09049578835</v>
      </c>
      <c r="M13" s="23">
        <f>0.31*M33</f>
        <v>217032.54958548184</v>
      </c>
      <c r="N13" s="23">
        <f>0.34*N33</f>
        <v>245176.77053172822</v>
      </c>
      <c r="Q13" s="23">
        <f>0.28*Q33</f>
        <v>207967.59006279535</v>
      </c>
      <c r="R13" s="23">
        <f>0.39*R33</f>
        <v>318636.0576319258</v>
      </c>
      <c r="S13" s="23">
        <f>0.4*S33</f>
        <v>336610.39934449596</v>
      </c>
      <c r="T13" s="23">
        <f>0.33*T33</f>
        <v>255487.29310247244</v>
      </c>
      <c r="U13" s="23">
        <f>0.33*U33</f>
        <v>250377.54724042301</v>
      </c>
      <c r="V13" s="23">
        <f>0.31*V33</f>
        <v>223442.99291607447</v>
      </c>
      <c r="W13" s="35">
        <f>+'Assumptions Summary'!W45</f>
        <v>198428.97470946398</v>
      </c>
      <c r="X13" s="35">
        <f>+'Assumptions Summary'!X45</f>
        <v>249646.68821769857</v>
      </c>
      <c r="Y13" s="35">
        <f>+'Assumptions Summary'!Y45</f>
        <v>300929.97736089997</v>
      </c>
      <c r="Z13" s="35">
        <f>+'Assumptions Summary'!Z45</f>
        <v>321813.91719533491</v>
      </c>
      <c r="AA13" s="35">
        <f>+'Assumptions Summary'!AA45</f>
        <v>309538.84144057857</v>
      </c>
      <c r="AB13" s="35">
        <f>+'Assumptions Summary'!AB45</f>
        <v>278596.30571749079</v>
      </c>
      <c r="AC13" s="23"/>
      <c r="AE13" s="35">
        <f>+'Assumptions Summary'!AE45</f>
        <v>315470.15560040402</v>
      </c>
      <c r="AF13" s="35">
        <f>+'Assumptions Summary'!AF45</f>
        <v>419306.74504412734</v>
      </c>
      <c r="AG13" s="35">
        <f>+'Assumptions Summary'!AG45</f>
        <v>380947.38997551904</v>
      </c>
      <c r="AH13" s="35">
        <f>+'Assumptions Summary'!AH45</f>
        <v>263329.70250971452</v>
      </c>
      <c r="AI13" s="35">
        <f>+'Assumptions Summary'!AI45</f>
        <v>238290.78316589794</v>
      </c>
      <c r="AJ13" s="35">
        <f>+'Assumptions Summary'!AJ45</f>
        <v>249896.32782808712</v>
      </c>
      <c r="AK13" s="35">
        <f>+'Assumptions Summary'!AK45</f>
        <v>274112.93302030041</v>
      </c>
      <c r="AL13" s="35">
        <f>+'Assumptions Summary'!AL45</f>
        <v>330417.97288681596</v>
      </c>
      <c r="AM13" s="35">
        <f>+'Assumptions Summary'!AM45</f>
        <v>367357.82728289359</v>
      </c>
      <c r="AN13" s="35">
        <f>+'Assumptions Summary'!AN45</f>
        <v>348979.86937518272</v>
      </c>
      <c r="AO13" s="35">
        <f>+'Assumptions Summary'!AO45</f>
        <v>311505.18519424909</v>
      </c>
      <c r="AP13" s="35">
        <f>+'Assumptions Summary'!AP45</f>
        <v>261465.56290739618</v>
      </c>
    </row>
    <row r="14" spans="1:42" x14ac:dyDescent="0.15">
      <c r="A14" t="s">
        <v>61</v>
      </c>
      <c r="C14" s="24">
        <v>24876</v>
      </c>
      <c r="D14" s="24">
        <f>+C14-'POM Actual &amp; Forecast'!D63</f>
        <v>25876</v>
      </c>
      <c r="E14" s="24">
        <f>+D14-'POM Actual &amp; Forecast'!E63</f>
        <v>25876</v>
      </c>
      <c r="F14" s="24">
        <f>+E14-'POM Actual &amp; Forecast'!F63</f>
        <v>25876</v>
      </c>
      <c r="G14" s="24">
        <f>+F14-'POM Actual &amp; Forecast'!G63</f>
        <v>25876</v>
      </c>
      <c r="H14" s="24">
        <f>+G14-'POM Actual &amp; Forecast'!H63</f>
        <v>25876</v>
      </c>
      <c r="I14" s="24">
        <f>+H14-'POM Actual &amp; Forecast'!I63</f>
        <v>25876</v>
      </c>
      <c r="J14" s="24">
        <f>+I14-'POM Actual &amp; Forecast'!J63</f>
        <v>23376</v>
      </c>
      <c r="K14" s="24">
        <f>+J14-'POM Actual &amp; Forecast'!K63</f>
        <v>23376</v>
      </c>
      <c r="L14" s="24">
        <f>+K14-'POM Actual &amp; Forecast'!L63</f>
        <v>23376</v>
      </c>
      <c r="M14" s="24">
        <f>+L14-'POM Actual &amp; Forecast'!M63</f>
        <v>23376</v>
      </c>
      <c r="N14" s="24">
        <f>+M14-'POM Actual &amp; Forecast'!N63</f>
        <v>23376</v>
      </c>
      <c r="Q14" s="24">
        <f>+N14-'POM Actual &amp; Forecast'!Q63</f>
        <v>23376</v>
      </c>
      <c r="R14" s="24">
        <f>+Q14-'POM Actual &amp; Forecast'!R63</f>
        <v>23376</v>
      </c>
      <c r="S14" s="24">
        <f>+R14-'POM Actual &amp; Forecast'!S63</f>
        <v>23376</v>
      </c>
      <c r="T14" s="24">
        <f>+S14-'POM Actual &amp; Forecast'!T63</f>
        <v>23376</v>
      </c>
      <c r="U14" s="24">
        <f>+T14-'POM Actual &amp; Forecast'!U63</f>
        <v>23376</v>
      </c>
      <c r="V14" s="24">
        <f>+U14-'POM Actual &amp; Forecast'!V63</f>
        <v>23376</v>
      </c>
      <c r="W14" s="24">
        <f t="shared" ref="W14:AB14" si="0">+V14</f>
        <v>23376</v>
      </c>
      <c r="X14" s="24">
        <f t="shared" si="0"/>
        <v>23376</v>
      </c>
      <c r="Y14" s="24">
        <f t="shared" si="0"/>
        <v>23376</v>
      </c>
      <c r="Z14" s="24">
        <f t="shared" si="0"/>
        <v>23376</v>
      </c>
      <c r="AA14" s="24">
        <f t="shared" si="0"/>
        <v>23376</v>
      </c>
      <c r="AB14" s="24">
        <f t="shared" si="0"/>
        <v>23376</v>
      </c>
      <c r="AC14" s="35"/>
      <c r="AE14" s="24">
        <f>+AB14</f>
        <v>23376</v>
      </c>
      <c r="AF14" s="24">
        <f t="shared" ref="AF14" si="1">+AE14</f>
        <v>23376</v>
      </c>
      <c r="AG14" s="24">
        <f t="shared" ref="AG14" si="2">+AF14</f>
        <v>23376</v>
      </c>
      <c r="AH14" s="24">
        <f t="shared" ref="AH14" si="3">+AG14</f>
        <v>23376</v>
      </c>
      <c r="AI14" s="24">
        <f t="shared" ref="AI14" si="4">+AH14</f>
        <v>23376</v>
      </c>
      <c r="AJ14" s="24">
        <f t="shared" ref="AJ14" si="5">+AI14</f>
        <v>23376</v>
      </c>
      <c r="AK14" s="24">
        <f t="shared" ref="AK14" si="6">+AJ14</f>
        <v>23376</v>
      </c>
      <c r="AL14" s="24">
        <f t="shared" ref="AL14" si="7">+AK14</f>
        <v>23376</v>
      </c>
      <c r="AM14" s="24">
        <f t="shared" ref="AM14" si="8">+AL14</f>
        <v>23376</v>
      </c>
      <c r="AN14" s="24">
        <f t="shared" ref="AN14" si="9">+AM14</f>
        <v>23376</v>
      </c>
      <c r="AO14" s="24">
        <f t="shared" ref="AO14" si="10">+AN14</f>
        <v>23376</v>
      </c>
      <c r="AP14" s="24">
        <f t="shared" ref="AP14" si="11">+AO14</f>
        <v>23376</v>
      </c>
    </row>
    <row r="15" spans="1:42" x14ac:dyDescent="0.15">
      <c r="A15" t="s">
        <v>62</v>
      </c>
      <c r="C15" s="23">
        <f>SUM(C10:C14)</f>
        <v>4487292.5250000004</v>
      </c>
      <c r="D15" s="23">
        <f>SUM(D10:D14)</f>
        <v>4605196.9348542057</v>
      </c>
      <c r="E15" s="23">
        <f t="shared" ref="E15:N15" si="12">SUM(E10:E14)</f>
        <v>4682655.5706795501</v>
      </c>
      <c r="F15" s="23">
        <f t="shared" si="12"/>
        <v>4405243.1443770714</v>
      </c>
      <c r="G15" s="23">
        <f t="shared" si="12"/>
        <v>4553879.7541686418</v>
      </c>
      <c r="H15" s="23">
        <f t="shared" si="12"/>
        <v>4814583.5093754418</v>
      </c>
      <c r="I15" s="23">
        <f t="shared" si="12"/>
        <v>4857149.3807233907</v>
      </c>
      <c r="J15" s="23">
        <f t="shared" si="12"/>
        <v>5345801.9673839612</v>
      </c>
      <c r="K15" s="23">
        <f t="shared" si="12"/>
        <v>5043517.5620257417</v>
      </c>
      <c r="L15" s="23">
        <f t="shared" si="12"/>
        <v>4828974.5170820719</v>
      </c>
      <c r="M15" s="23">
        <f t="shared" si="12"/>
        <v>4790142.1834772993</v>
      </c>
      <c r="N15" s="23">
        <f t="shared" si="12"/>
        <v>4197941.6227581352</v>
      </c>
      <c r="Q15" s="23">
        <f>SUM(Q10:Q14)</f>
        <v>4300403.8936920324</v>
      </c>
      <c r="R15" s="23">
        <f>SUM(R10:R14)</f>
        <v>4771792.6356101735</v>
      </c>
      <c r="S15" s="23">
        <f t="shared" ref="S15:W15" si="13">SUM(S10:S14)</f>
        <v>4996874.5897142589</v>
      </c>
      <c r="T15" s="23">
        <f t="shared" si="13"/>
        <v>4732534.4286454972</v>
      </c>
      <c r="U15" s="23">
        <f t="shared" si="13"/>
        <v>4559737.6367863342</v>
      </c>
      <c r="V15" s="23">
        <f t="shared" si="13"/>
        <v>4201283.985875817</v>
      </c>
      <c r="W15" s="23">
        <f t="shared" si="13"/>
        <v>4091358.5250925575</v>
      </c>
      <c r="X15" s="23">
        <f t="shared" ref="X15:AB15" si="14">SUM(X10:X14)</f>
        <v>4729204.6356755327</v>
      </c>
      <c r="Y15" s="23">
        <f t="shared" si="14"/>
        <v>5423820.4486503741</v>
      </c>
      <c r="Z15" s="23">
        <f t="shared" si="14"/>
        <v>5800708.0214770949</v>
      </c>
      <c r="AA15" s="23">
        <f t="shared" si="14"/>
        <v>5855972.8763001133</v>
      </c>
      <c r="AB15" s="23">
        <f t="shared" si="14"/>
        <v>5675316.4743566476</v>
      </c>
      <c r="AC15" s="23"/>
      <c r="AE15" s="23">
        <f t="shared" ref="AE15:AF15" si="15">SUM(AE10:AE14)</f>
        <v>5418109.5215574866</v>
      </c>
      <c r="AF15" s="23">
        <f t="shared" si="15"/>
        <v>7578851.4636558909</v>
      </c>
      <c r="AG15" s="23">
        <f t="shared" ref="AG15:AP15" si="16">SUM(AG10:AG14)</f>
        <v>7274032.1214109212</v>
      </c>
      <c r="AH15" s="23">
        <f t="shared" si="16"/>
        <v>6161010.7207208751</v>
      </c>
      <c r="AI15" s="23">
        <f t="shared" si="16"/>
        <v>5938636.9618223412</v>
      </c>
      <c r="AJ15" s="23">
        <f t="shared" si="16"/>
        <v>6045724.1678463137</v>
      </c>
      <c r="AK15" s="23">
        <f t="shared" si="16"/>
        <v>6158446.4217633</v>
      </c>
      <c r="AL15" s="23">
        <f t="shared" si="16"/>
        <v>6664923.0117873577</v>
      </c>
      <c r="AM15" s="23">
        <f t="shared" si="16"/>
        <v>6943471.6862583002</v>
      </c>
      <c r="AN15" s="23">
        <f t="shared" si="16"/>
        <v>6710898.7557734679</v>
      </c>
      <c r="AO15" s="23">
        <f t="shared" si="16"/>
        <v>6253236.2783411266</v>
      </c>
      <c r="AP15" s="23">
        <f t="shared" si="16"/>
        <v>5098204.064922017</v>
      </c>
    </row>
    <row r="16" spans="1:42" x14ac:dyDescent="0.15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1:42" x14ac:dyDescent="0.15">
      <c r="A17" s="16" t="s">
        <v>63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</row>
    <row r="18" spans="1:42" x14ac:dyDescent="0.15">
      <c r="A18" t="s">
        <v>115</v>
      </c>
      <c r="C18" s="23">
        <v>202333</v>
      </c>
      <c r="D18" s="23">
        <f>+C18-'POM Actual &amp; Forecast'!D51</f>
        <v>202333</v>
      </c>
      <c r="E18" s="23">
        <f>+D18-'POM Actual &amp; Forecast'!E51</f>
        <v>217878</v>
      </c>
      <c r="F18" s="23">
        <f>+E18-'POM Actual &amp; Forecast'!F51</f>
        <v>217878</v>
      </c>
      <c r="G18" s="23">
        <f>+F18-'POM Actual &amp; Forecast'!G51</f>
        <v>221468</v>
      </c>
      <c r="H18" s="23">
        <f>+G18-'POM Actual &amp; Forecast'!H51</f>
        <v>221468</v>
      </c>
      <c r="I18" s="23">
        <f>+H18-'POM Actual &amp; Forecast'!I51</f>
        <v>221468</v>
      </c>
      <c r="J18" s="23">
        <f>+I18-'POM Actual &amp; Forecast'!J51</f>
        <v>245457</v>
      </c>
      <c r="K18" s="23">
        <f>+J18-'POM Actual &amp; Forecast'!K51</f>
        <v>245457</v>
      </c>
      <c r="L18" s="23">
        <f>+K18-'POM Actual &amp; Forecast'!L51</f>
        <v>249927</v>
      </c>
      <c r="M18" s="23">
        <f>+L18-'POM Actual &amp; Forecast'!M51</f>
        <v>249927</v>
      </c>
      <c r="N18" s="23">
        <f>+M18-'POM Actual &amp; Forecast'!N51</f>
        <v>249927</v>
      </c>
      <c r="Q18" s="23">
        <f>N18-'POM Actual &amp; Forecast'!Q51</f>
        <v>261177</v>
      </c>
      <c r="R18" s="23">
        <f>+Q18-'POM Actual &amp; Forecast'!R51</f>
        <v>261177</v>
      </c>
      <c r="S18" s="23">
        <f>+R18-'POM Actual &amp; Forecast'!S51</f>
        <v>279929</v>
      </c>
      <c r="T18" s="23">
        <f>+S18-'POM Actual &amp; Forecast'!T51</f>
        <v>279929</v>
      </c>
      <c r="U18" s="23">
        <f>+T18-'POM Actual &amp; Forecast'!U51</f>
        <v>279929</v>
      </c>
      <c r="V18" s="23">
        <f>+U18-'POM Actual &amp; Forecast'!V51</f>
        <v>279929</v>
      </c>
      <c r="W18" s="23">
        <f>+V18-'Assumptions Summary'!W28</f>
        <v>304929</v>
      </c>
      <c r="X18" s="23">
        <f>+W18-'Assumptions Summary'!X28</f>
        <v>304929</v>
      </c>
      <c r="Y18" s="23">
        <f>+X18-'Assumptions Summary'!Y28</f>
        <v>304929</v>
      </c>
      <c r="Z18" s="23">
        <f>+Y18-'Assumptions Summary'!Z28</f>
        <v>319929</v>
      </c>
      <c r="AA18" s="23">
        <f>+Z18-'Assumptions Summary'!AA28</f>
        <v>319929</v>
      </c>
      <c r="AB18" s="23">
        <f>+AA18-'Assumptions Summary'!AB28</f>
        <v>319929</v>
      </c>
      <c r="AC18" s="23"/>
      <c r="AE18" s="23">
        <f>+AB18-'Assumptions Summary'!AE28</f>
        <v>334929</v>
      </c>
      <c r="AF18" s="23">
        <f>+AE18-'Assumptions Summary'!AF28</f>
        <v>334929</v>
      </c>
      <c r="AG18" s="23">
        <f>+AF18-'Assumptions Summary'!AG28</f>
        <v>344929</v>
      </c>
      <c r="AH18" s="23">
        <f>+AG18-'Assumptions Summary'!AH28</f>
        <v>344929</v>
      </c>
      <c r="AI18" s="23">
        <f>+AH18-'Assumptions Summary'!AI28</f>
        <v>344929</v>
      </c>
      <c r="AJ18" s="23">
        <f>+AI18-'Assumptions Summary'!AJ28</f>
        <v>369929</v>
      </c>
      <c r="AK18" s="23">
        <f>+AJ18-'Assumptions Summary'!AK28</f>
        <v>369929</v>
      </c>
      <c r="AL18" s="23">
        <f>+AK18-'Assumptions Summary'!AL28</f>
        <v>369929</v>
      </c>
      <c r="AM18" s="23">
        <f>+AL18-'Assumptions Summary'!AM28</f>
        <v>419929</v>
      </c>
      <c r="AN18" s="23">
        <f>+AM18-'Assumptions Summary'!AN28</f>
        <v>419929</v>
      </c>
      <c r="AO18" s="23">
        <f>+AN18-'Assumptions Summary'!AO28</f>
        <v>419929</v>
      </c>
      <c r="AP18" s="23">
        <f>+AO18-'Assumptions Summary'!AP28</f>
        <v>419929</v>
      </c>
    </row>
    <row r="19" spans="1:42" x14ac:dyDescent="0.15">
      <c r="A19" t="s">
        <v>85</v>
      </c>
      <c r="C19" s="24">
        <v>251590</v>
      </c>
      <c r="D19" s="24">
        <f>+C19-'POM Actual &amp; Forecast'!D52</f>
        <v>251590</v>
      </c>
      <c r="E19" s="24">
        <f>+D19-'POM Actual &amp; Forecast'!E52</f>
        <v>251590</v>
      </c>
      <c r="F19" s="24">
        <f>+E19-'POM Actual &amp; Forecast'!F52</f>
        <v>251590</v>
      </c>
      <c r="G19" s="24">
        <f>+F19-'POM Actual &amp; Forecast'!G52</f>
        <v>251590</v>
      </c>
      <c r="H19" s="24">
        <f>+G19-'POM Actual &amp; Forecast'!H52</f>
        <v>251590</v>
      </c>
      <c r="I19" s="24">
        <f>+H19-'POM Actual &amp; Forecast'!I52</f>
        <v>251590</v>
      </c>
      <c r="J19" s="24">
        <f>+I19-'POM Actual &amp; Forecast'!J52</f>
        <v>251590</v>
      </c>
      <c r="K19" s="24">
        <f>+J19-'POM Actual &amp; Forecast'!K52</f>
        <v>251590</v>
      </c>
      <c r="L19" s="24">
        <f>+K19-'POM Actual &amp; Forecast'!L52</f>
        <v>251590</v>
      </c>
      <c r="M19" s="24">
        <f>+L19-'POM Actual &amp; Forecast'!M52</f>
        <v>251590</v>
      </c>
      <c r="N19" s="24">
        <f>+M19-'POM Actual &amp; Forecast'!N52</f>
        <v>251590</v>
      </c>
      <c r="Q19" s="24">
        <f>N19-'POM Actual &amp; Forecast'!Q52</f>
        <v>251590</v>
      </c>
      <c r="R19" s="24">
        <f>+Q19-'POM Actual &amp; Forecast'!R52</f>
        <v>251590</v>
      </c>
      <c r="S19" s="24">
        <f>+R19-'POM Actual &amp; Forecast'!S52</f>
        <v>251590</v>
      </c>
      <c r="T19" s="24">
        <f>+S19-'POM Actual &amp; Forecast'!T52</f>
        <v>251590</v>
      </c>
      <c r="U19" s="24">
        <f>+T19-'POM Actual &amp; Forecast'!U52</f>
        <v>251590</v>
      </c>
      <c r="V19" s="24">
        <f>+U19-'POM Actual &amp; Forecast'!V52</f>
        <v>251590</v>
      </c>
      <c r="W19" s="24">
        <f>+V19</f>
        <v>251590</v>
      </c>
      <c r="X19" s="24">
        <f>+W19-'POM Actual &amp; Forecast'!X52</f>
        <v>251590</v>
      </c>
      <c r="Y19" s="24">
        <f>+X19-'POM Actual &amp; Forecast'!Y52</f>
        <v>251590</v>
      </c>
      <c r="Z19" s="24">
        <f>+Y19-'POM Actual &amp; Forecast'!Z52</f>
        <v>251590</v>
      </c>
      <c r="AA19" s="24">
        <f>+Z19-'POM Actual &amp; Forecast'!AA52</f>
        <v>251590</v>
      </c>
      <c r="AB19" s="24">
        <f>+AA19-'POM Actual &amp; Forecast'!AB52</f>
        <v>251590</v>
      </c>
      <c r="AC19" s="35"/>
      <c r="AE19" s="24">
        <f>+AB19-'POM Actual &amp; Forecast'!AE52</f>
        <v>251590</v>
      </c>
      <c r="AF19" s="24">
        <f>+AE19-'POM Actual &amp; Forecast'!AF52</f>
        <v>251590</v>
      </c>
      <c r="AG19" s="24">
        <f>+AF19-'POM Actual &amp; Forecast'!AG52</f>
        <v>251590</v>
      </c>
      <c r="AH19" s="24">
        <f>+AG19-'POM Actual &amp; Forecast'!AH52</f>
        <v>251590</v>
      </c>
      <c r="AI19" s="24">
        <f>+AH19-'POM Actual &amp; Forecast'!AI52</f>
        <v>251590</v>
      </c>
      <c r="AJ19" s="24">
        <f>+AI19-'POM Actual &amp; Forecast'!AJ52</f>
        <v>251590</v>
      </c>
      <c r="AK19" s="24">
        <f>+AJ19-'POM Actual &amp; Forecast'!AK52</f>
        <v>251590</v>
      </c>
      <c r="AL19" s="24">
        <f>+AK19-'POM Actual &amp; Forecast'!AL52</f>
        <v>251590</v>
      </c>
      <c r="AM19" s="24">
        <f>+AL19-'POM Actual &amp; Forecast'!AM52</f>
        <v>251590</v>
      </c>
      <c r="AN19" s="24">
        <f>+AM19-'POM Actual &amp; Forecast'!AN52</f>
        <v>251590</v>
      </c>
      <c r="AO19" s="24">
        <f>+AN19-'POM Actual &amp; Forecast'!AO52</f>
        <v>251590</v>
      </c>
      <c r="AP19" s="24">
        <f>+AO19-'POM Actual &amp; Forecast'!AP52</f>
        <v>251590</v>
      </c>
    </row>
    <row r="20" spans="1:42" x14ac:dyDescent="0.15">
      <c r="A20" t="s">
        <v>65</v>
      </c>
      <c r="C20" s="23">
        <f>SUM(C18:C19)</f>
        <v>453923</v>
      </c>
      <c r="D20" s="23">
        <f>SUM(D18:D19)</f>
        <v>453923</v>
      </c>
      <c r="E20" s="23">
        <f t="shared" ref="E20:N20" si="17">SUM(E18:E19)</f>
        <v>469468</v>
      </c>
      <c r="F20" s="23">
        <f t="shared" si="17"/>
        <v>469468</v>
      </c>
      <c r="G20" s="23">
        <f t="shared" si="17"/>
        <v>473058</v>
      </c>
      <c r="H20" s="23">
        <f t="shared" si="17"/>
        <v>473058</v>
      </c>
      <c r="I20" s="23">
        <f t="shared" si="17"/>
        <v>473058</v>
      </c>
      <c r="J20" s="23">
        <f t="shared" si="17"/>
        <v>497047</v>
      </c>
      <c r="K20" s="23">
        <f t="shared" si="17"/>
        <v>497047</v>
      </c>
      <c r="L20" s="23">
        <f t="shared" si="17"/>
        <v>501517</v>
      </c>
      <c r="M20" s="23">
        <f t="shared" si="17"/>
        <v>501517</v>
      </c>
      <c r="N20" s="23">
        <f t="shared" si="17"/>
        <v>501517</v>
      </c>
      <c r="Q20" s="23">
        <f>SUM(Q18:Q19)</f>
        <v>512767</v>
      </c>
      <c r="R20" s="23">
        <f>SUM(R18:R19)</f>
        <v>512767</v>
      </c>
      <c r="S20" s="23">
        <f t="shared" ref="S20:W20" si="18">SUM(S18:S19)</f>
        <v>531519</v>
      </c>
      <c r="T20" s="23">
        <f t="shared" si="18"/>
        <v>531519</v>
      </c>
      <c r="U20" s="23">
        <f t="shared" si="18"/>
        <v>531519</v>
      </c>
      <c r="V20" s="23">
        <f t="shared" si="18"/>
        <v>531519</v>
      </c>
      <c r="W20" s="23">
        <f t="shared" si="18"/>
        <v>556519</v>
      </c>
      <c r="X20" s="23">
        <f t="shared" ref="X20:AB20" si="19">SUM(X18:X19)</f>
        <v>556519</v>
      </c>
      <c r="Y20" s="23">
        <f t="shared" si="19"/>
        <v>556519</v>
      </c>
      <c r="Z20" s="23">
        <f t="shared" si="19"/>
        <v>571519</v>
      </c>
      <c r="AA20" s="23">
        <f t="shared" si="19"/>
        <v>571519</v>
      </c>
      <c r="AB20" s="23">
        <f t="shared" si="19"/>
        <v>571519</v>
      </c>
      <c r="AC20" s="23"/>
      <c r="AE20" s="23">
        <f t="shared" ref="AE20:AF20" si="20">SUM(AE18:AE19)</f>
        <v>586519</v>
      </c>
      <c r="AF20" s="23">
        <f t="shared" si="20"/>
        <v>586519</v>
      </c>
      <c r="AG20" s="23">
        <f t="shared" ref="AG20:AP20" si="21">SUM(AG18:AG19)</f>
        <v>596519</v>
      </c>
      <c r="AH20" s="23">
        <f t="shared" si="21"/>
        <v>596519</v>
      </c>
      <c r="AI20" s="23">
        <f t="shared" si="21"/>
        <v>596519</v>
      </c>
      <c r="AJ20" s="23">
        <f t="shared" si="21"/>
        <v>621519</v>
      </c>
      <c r="AK20" s="23">
        <f t="shared" si="21"/>
        <v>621519</v>
      </c>
      <c r="AL20" s="23">
        <f t="shared" si="21"/>
        <v>621519</v>
      </c>
      <c r="AM20" s="23">
        <f t="shared" si="21"/>
        <v>671519</v>
      </c>
      <c r="AN20" s="23">
        <f t="shared" si="21"/>
        <v>671519</v>
      </c>
      <c r="AO20" s="23">
        <f t="shared" si="21"/>
        <v>671519</v>
      </c>
      <c r="AP20" s="23">
        <f t="shared" si="21"/>
        <v>671519</v>
      </c>
    </row>
    <row r="21" spans="1:42" x14ac:dyDescent="0.15">
      <c r="A21" t="s">
        <v>66</v>
      </c>
      <c r="C21" s="24">
        <v>-150000</v>
      </c>
      <c r="D21" s="24">
        <f>+C21-'IS Actual &amp; Forecast'!D33</f>
        <v>-155475</v>
      </c>
      <c r="E21" s="24">
        <f>+D21-'IS Actual &amp; Forecast'!E33</f>
        <v>-160950</v>
      </c>
      <c r="F21" s="24">
        <f>+E21-'IS Actual &amp; Forecast'!F33</f>
        <v>-166425</v>
      </c>
      <c r="G21" s="24">
        <f>+F21-'IS Actual &amp; Forecast'!G33</f>
        <v>-171900</v>
      </c>
      <c r="H21" s="24">
        <f>+G21-'IS Actual &amp; Forecast'!H33</f>
        <v>-177375</v>
      </c>
      <c r="I21" s="24">
        <f>+H21-'IS Actual &amp; Forecast'!I33</f>
        <v>-182850</v>
      </c>
      <c r="J21" s="24">
        <f>+I21-'IS Actual &amp; Forecast'!J33</f>
        <v>-188325</v>
      </c>
      <c r="K21" s="24">
        <f>+J21-'IS Actual &amp; Forecast'!K33</f>
        <v>-193800</v>
      </c>
      <c r="L21" s="24">
        <f>+K21-'IS Actual &amp; Forecast'!L33</f>
        <v>-199275</v>
      </c>
      <c r="M21" s="24">
        <f>+L21-'IS Actual &amp; Forecast'!M33</f>
        <v>-204750</v>
      </c>
      <c r="N21" s="24">
        <f>+M21-'IS Actual &amp; Forecast'!N33</f>
        <v>-215100</v>
      </c>
      <c r="Q21" s="24">
        <f>N21-'IS Actual &amp; Forecast'!Q33</f>
        <v>-220950</v>
      </c>
      <c r="R21" s="24">
        <f>+Q21-'IS Actual &amp; Forecast'!R33</f>
        <v>-226800</v>
      </c>
      <c r="S21" s="24">
        <f>+R21-'IS Actual &amp; Forecast'!S33</f>
        <v>-232650</v>
      </c>
      <c r="T21" s="24">
        <f>+S21-'IS Actual &amp; Forecast'!T33</f>
        <v>-238500</v>
      </c>
      <c r="U21" s="24">
        <f>+T21-'IS Actual &amp; Forecast'!U33</f>
        <v>-244350</v>
      </c>
      <c r="V21" s="24">
        <f>+U21-'IS Actual &amp; Forecast'!V33</f>
        <v>-250200</v>
      </c>
      <c r="W21" s="24">
        <f>+V21-'IS Actual &amp; Forecast'!W33</f>
        <v>-256050</v>
      </c>
      <c r="X21" s="24">
        <f>+W21-'IS Actual &amp; Forecast'!X33</f>
        <v>-261900</v>
      </c>
      <c r="Y21" s="24">
        <f>+X21-'IS Actual &amp; Forecast'!Y33</f>
        <v>-267750</v>
      </c>
      <c r="Z21" s="24">
        <f>+Y21-'IS Actual &amp; Forecast'!Z33</f>
        <v>-273600</v>
      </c>
      <c r="AA21" s="24">
        <f>+Z21-'IS Actual &amp; Forecast'!AA33</f>
        <v>-279450</v>
      </c>
      <c r="AB21" s="24">
        <f>+AA21-'IS Actual &amp; Forecast'!AB33</f>
        <v>-285300</v>
      </c>
      <c r="AC21" s="35"/>
      <c r="AE21" s="24">
        <f>+AB21-'IS Actual &amp; Forecast'!AE33</f>
        <v>-291300</v>
      </c>
      <c r="AF21" s="24">
        <f>+AE21-'IS Actual &amp; Forecast'!AF33</f>
        <v>-297300</v>
      </c>
      <c r="AG21" s="24">
        <f>+AF21-'IS Actual &amp; Forecast'!AG33</f>
        <v>-303300</v>
      </c>
      <c r="AH21" s="24">
        <f>+AG21-'IS Actual &amp; Forecast'!AH33</f>
        <v>-309300</v>
      </c>
      <c r="AI21" s="24">
        <f>+AH21-'IS Actual &amp; Forecast'!AI33</f>
        <v>-315300</v>
      </c>
      <c r="AJ21" s="24">
        <f>+AI21-'IS Actual &amp; Forecast'!AJ33</f>
        <v>-321300</v>
      </c>
      <c r="AK21" s="24">
        <f>+AJ21-'IS Actual &amp; Forecast'!AK33</f>
        <v>-327300</v>
      </c>
      <c r="AL21" s="24">
        <f>+AK21-'IS Actual &amp; Forecast'!AL33</f>
        <v>-333300</v>
      </c>
      <c r="AM21" s="24">
        <f>+AL21-'IS Actual &amp; Forecast'!AM33</f>
        <v>-339300</v>
      </c>
      <c r="AN21" s="24">
        <f>+AM21-'IS Actual &amp; Forecast'!AN33</f>
        <v>-345300</v>
      </c>
      <c r="AO21" s="24">
        <f>+AN21-'IS Actual &amp; Forecast'!AO33</f>
        <v>-351300</v>
      </c>
      <c r="AP21" s="24">
        <f>+AO21-'IS Actual &amp; Forecast'!AP33</f>
        <v>-357300</v>
      </c>
    </row>
    <row r="22" spans="1:42" x14ac:dyDescent="0.15">
      <c r="A22" t="s">
        <v>67</v>
      </c>
      <c r="C22" s="23">
        <f>SUM(C20:C21)</f>
        <v>303923</v>
      </c>
      <c r="D22" s="23">
        <f>SUM(D20:D21)</f>
        <v>298448</v>
      </c>
      <c r="E22" s="23">
        <f t="shared" ref="E22:N22" si="22">SUM(E20:E21)</f>
        <v>308518</v>
      </c>
      <c r="F22" s="23">
        <f t="shared" si="22"/>
        <v>303043</v>
      </c>
      <c r="G22" s="23">
        <f t="shared" si="22"/>
        <v>301158</v>
      </c>
      <c r="H22" s="23">
        <f t="shared" si="22"/>
        <v>295683</v>
      </c>
      <c r="I22" s="23">
        <f t="shared" si="22"/>
        <v>290208</v>
      </c>
      <c r="J22" s="23">
        <f t="shared" si="22"/>
        <v>308722</v>
      </c>
      <c r="K22" s="23">
        <f t="shared" si="22"/>
        <v>303247</v>
      </c>
      <c r="L22" s="23">
        <f t="shared" si="22"/>
        <v>302242</v>
      </c>
      <c r="M22" s="23">
        <f t="shared" si="22"/>
        <v>296767</v>
      </c>
      <c r="N22" s="23">
        <f t="shared" si="22"/>
        <v>286417</v>
      </c>
      <c r="Q22" s="23">
        <f>SUM(Q20:Q21)</f>
        <v>291817</v>
      </c>
      <c r="R22" s="23">
        <f>SUM(R20:R21)</f>
        <v>285967</v>
      </c>
      <c r="S22" s="23">
        <f t="shared" ref="S22:W22" si="23">SUM(S20:S21)</f>
        <v>298869</v>
      </c>
      <c r="T22" s="23">
        <f t="shared" si="23"/>
        <v>293019</v>
      </c>
      <c r="U22" s="23">
        <f t="shared" si="23"/>
        <v>287169</v>
      </c>
      <c r="V22" s="23">
        <f t="shared" si="23"/>
        <v>281319</v>
      </c>
      <c r="W22" s="23">
        <f t="shared" si="23"/>
        <v>300469</v>
      </c>
      <c r="X22" s="23">
        <f t="shared" ref="X22:AB22" si="24">SUM(X20:X21)</f>
        <v>294619</v>
      </c>
      <c r="Y22" s="23">
        <f t="shared" si="24"/>
        <v>288769</v>
      </c>
      <c r="Z22" s="23">
        <f t="shared" si="24"/>
        <v>297919</v>
      </c>
      <c r="AA22" s="23">
        <f t="shared" si="24"/>
        <v>292069</v>
      </c>
      <c r="AB22" s="23">
        <f t="shared" si="24"/>
        <v>286219</v>
      </c>
      <c r="AC22" s="23"/>
      <c r="AE22" s="23">
        <f t="shared" ref="AE22:AF22" si="25">SUM(AE20:AE21)</f>
        <v>295219</v>
      </c>
      <c r="AF22" s="23">
        <f t="shared" si="25"/>
        <v>289219</v>
      </c>
      <c r="AG22" s="23">
        <f t="shared" ref="AG22:AP22" si="26">SUM(AG20:AG21)</f>
        <v>293219</v>
      </c>
      <c r="AH22" s="23">
        <f t="shared" si="26"/>
        <v>287219</v>
      </c>
      <c r="AI22" s="23">
        <f t="shared" si="26"/>
        <v>281219</v>
      </c>
      <c r="AJ22" s="23">
        <f t="shared" si="26"/>
        <v>300219</v>
      </c>
      <c r="AK22" s="23">
        <f t="shared" si="26"/>
        <v>294219</v>
      </c>
      <c r="AL22" s="23">
        <f t="shared" si="26"/>
        <v>288219</v>
      </c>
      <c r="AM22" s="23">
        <f t="shared" si="26"/>
        <v>332219</v>
      </c>
      <c r="AN22" s="23">
        <f t="shared" si="26"/>
        <v>326219</v>
      </c>
      <c r="AO22" s="23">
        <f t="shared" si="26"/>
        <v>320219</v>
      </c>
      <c r="AP22" s="23">
        <f t="shared" si="26"/>
        <v>314219</v>
      </c>
    </row>
    <row r="23" spans="1:42" x14ac:dyDescent="0.15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</row>
    <row r="24" spans="1:42" x14ac:dyDescent="0.15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</row>
    <row r="25" spans="1:42" ht="14" thickBot="1" x14ac:dyDescent="0.2">
      <c r="A25" t="s">
        <v>68</v>
      </c>
      <c r="C25" s="32">
        <f>C15+C22</f>
        <v>4791215.5250000004</v>
      </c>
      <c r="D25" s="32">
        <f>D15+D22</f>
        <v>4903644.9348542057</v>
      </c>
      <c r="E25" s="32">
        <f t="shared" ref="E25:N25" si="27">E15+E22</f>
        <v>4991173.5706795501</v>
      </c>
      <c r="F25" s="32">
        <f t="shared" si="27"/>
        <v>4708286.1443770714</v>
      </c>
      <c r="G25" s="32">
        <f t="shared" si="27"/>
        <v>4855037.7541686418</v>
      </c>
      <c r="H25" s="32">
        <f t="shared" si="27"/>
        <v>5110266.5093754418</v>
      </c>
      <c r="I25" s="32">
        <f t="shared" si="27"/>
        <v>5147357.3807233907</v>
      </c>
      <c r="J25" s="32">
        <f t="shared" si="27"/>
        <v>5654523.9673839612</v>
      </c>
      <c r="K25" s="32">
        <f t="shared" si="27"/>
        <v>5346764.5620257417</v>
      </c>
      <c r="L25" s="32">
        <f t="shared" si="27"/>
        <v>5131216.5170820719</v>
      </c>
      <c r="M25" s="32">
        <f t="shared" si="27"/>
        <v>5086909.1834772993</v>
      </c>
      <c r="N25" s="32">
        <f t="shared" si="27"/>
        <v>4484358.6227581352</v>
      </c>
      <c r="Q25" s="32">
        <f>Q15+Q22</f>
        <v>4592220.8936920324</v>
      </c>
      <c r="R25" s="32">
        <f>R15+R22</f>
        <v>5057759.6356101735</v>
      </c>
      <c r="S25" s="32">
        <f t="shared" ref="S25:W25" si="28">S15+S22</f>
        <v>5295743.5897142589</v>
      </c>
      <c r="T25" s="32">
        <f t="shared" si="28"/>
        <v>5025553.4286454972</v>
      </c>
      <c r="U25" s="32">
        <f t="shared" si="28"/>
        <v>4846906.6367863342</v>
      </c>
      <c r="V25" s="32">
        <f t="shared" si="28"/>
        <v>4482602.985875817</v>
      </c>
      <c r="W25" s="32">
        <f t="shared" si="28"/>
        <v>4391827.5250925571</v>
      </c>
      <c r="X25" s="32">
        <f t="shared" ref="X25:AB25" si="29">X15+X22</f>
        <v>5023823.6356755327</v>
      </c>
      <c r="Y25" s="32">
        <f t="shared" si="29"/>
        <v>5712589.4486503741</v>
      </c>
      <c r="Z25" s="32">
        <f t="shared" si="29"/>
        <v>6098627.0214770949</v>
      </c>
      <c r="AA25" s="32">
        <f t="shared" si="29"/>
        <v>6148041.8763001133</v>
      </c>
      <c r="AB25" s="32">
        <f t="shared" si="29"/>
        <v>5961535.4743566476</v>
      </c>
      <c r="AC25" s="42"/>
      <c r="AE25" s="32">
        <f t="shared" ref="AE25:AF25" si="30">AE15+AE22</f>
        <v>5713328.5215574866</v>
      </c>
      <c r="AF25" s="32">
        <f t="shared" si="30"/>
        <v>7868070.4636558909</v>
      </c>
      <c r="AG25" s="32">
        <f t="shared" ref="AG25:AP25" si="31">AG15+AG22</f>
        <v>7567251.1214109212</v>
      </c>
      <c r="AH25" s="32">
        <f t="shared" si="31"/>
        <v>6448229.7207208751</v>
      </c>
      <c r="AI25" s="32">
        <f t="shared" si="31"/>
        <v>6219855.9618223412</v>
      </c>
      <c r="AJ25" s="32">
        <f t="shared" si="31"/>
        <v>6345943.1678463137</v>
      </c>
      <c r="AK25" s="32">
        <f t="shared" si="31"/>
        <v>6452665.4217633</v>
      </c>
      <c r="AL25" s="32">
        <f t="shared" si="31"/>
        <v>6953142.0117873577</v>
      </c>
      <c r="AM25" s="32">
        <f t="shared" si="31"/>
        <v>7275690.6862583002</v>
      </c>
      <c r="AN25" s="32">
        <f t="shared" si="31"/>
        <v>7037117.7557734679</v>
      </c>
      <c r="AO25" s="32">
        <f t="shared" si="31"/>
        <v>6573455.2783411266</v>
      </c>
      <c r="AP25" s="32">
        <f t="shared" si="31"/>
        <v>5412423.064922017</v>
      </c>
    </row>
    <row r="26" spans="1:42" ht="14" thickTop="1" x14ac:dyDescent="0.15">
      <c r="C26" s="23"/>
      <c r="D26" s="23"/>
      <c r="F26" s="23"/>
      <c r="K26" s="23"/>
      <c r="Q26" s="23"/>
      <c r="R26" s="23"/>
      <c r="T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</row>
    <row r="27" spans="1:42" x14ac:dyDescent="0.15">
      <c r="C27" s="23"/>
      <c r="D27" s="23"/>
      <c r="F27" s="23"/>
      <c r="K27" s="23"/>
      <c r="Q27" s="23"/>
      <c r="R27" s="23"/>
      <c r="T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</row>
    <row r="28" spans="1:42" x14ac:dyDescent="0.15">
      <c r="A28" s="25" t="s">
        <v>78</v>
      </c>
      <c r="C28" s="23"/>
      <c r="D28" s="23"/>
      <c r="F28" s="23"/>
      <c r="K28" s="23"/>
      <c r="Q28" s="23"/>
      <c r="R28" s="23"/>
      <c r="T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</row>
    <row r="29" spans="1:42" x14ac:dyDescent="0.15">
      <c r="C29" s="23"/>
      <c r="D29" s="23"/>
      <c r="F29" s="23"/>
      <c r="K29" s="23"/>
      <c r="Q29" s="23"/>
      <c r="R29" s="23"/>
      <c r="T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</row>
    <row r="30" spans="1:42" x14ac:dyDescent="0.15">
      <c r="A30" s="16" t="s">
        <v>69</v>
      </c>
      <c r="C30" s="23"/>
      <c r="D30" s="23"/>
      <c r="F30" s="23"/>
      <c r="K30" s="23"/>
      <c r="Q30" s="23"/>
      <c r="R30" s="23"/>
      <c r="T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</row>
    <row r="31" spans="1:42" x14ac:dyDescent="0.15">
      <c r="A31" t="s">
        <v>70</v>
      </c>
      <c r="C31" s="31">
        <v>1684389</v>
      </c>
      <c r="D31" s="31">
        <f>+C31+'POM Actual &amp; Forecast'!D65</f>
        <v>1813866.5656542056</v>
      </c>
      <c r="E31" s="31">
        <f>+D31+'POM Actual &amp; Forecast'!E65</f>
        <v>1878845.4132686919</v>
      </c>
      <c r="F31" s="31">
        <f>+E31+'POM Actual &amp; Forecast'!F65</f>
        <v>1508053.3428971558</v>
      </c>
      <c r="G31" s="31">
        <f>+F31+'POM Actual &amp; Forecast'!G65</f>
        <v>1704330.9213585944</v>
      </c>
      <c r="H31" s="31">
        <f>+G31+'POM Actual &amp; Forecast'!H65</f>
        <v>1863696.9295895279</v>
      </c>
      <c r="I31" s="31">
        <f>+H31+'POM Actual &amp; Forecast'!I65</f>
        <v>1753690.1155745639</v>
      </c>
      <c r="J31" s="31">
        <f>+I31+'POM Actual &amp; Forecast'!J65</f>
        <v>2147524.7755377875</v>
      </c>
      <c r="K31" s="31">
        <f>+J31+'POM Actual &amp; Forecast'!K65</f>
        <v>1841185.3742185177</v>
      </c>
      <c r="L31" s="31">
        <f>+K31+'POM Actual &amp; Forecast'!L65</f>
        <v>1668122.6544101767</v>
      </c>
      <c r="M31" s="31">
        <f>+L31+'POM Actual &amp; Forecast'!M65</f>
        <v>1539230.9728466806</v>
      </c>
      <c r="N31" s="31">
        <f>+M31+'POM Actual &amp; Forecast'!N65</f>
        <v>1266001.3738253806</v>
      </c>
      <c r="Q31" s="31">
        <f>N31+'POM Actual &amp; Forecast'!Q65</f>
        <v>1341438.3738253806</v>
      </c>
      <c r="R31" s="31">
        <f>+Q31+'POM Actual &amp; Forecast'!R65</f>
        <v>1610436.3738253806</v>
      </c>
      <c r="S31" s="31">
        <f>+R31+'POM Actual &amp; Forecast'!S65</f>
        <v>1777769.3738253806</v>
      </c>
      <c r="T31" s="31">
        <f>+S31+'POM Actual &amp; Forecast'!T65</f>
        <v>1622103.5751470202</v>
      </c>
      <c r="U31" s="31">
        <f>+T31+'POM Actual &amp; Forecast'!U65</f>
        <v>1496818.396493176</v>
      </c>
      <c r="V31" s="31">
        <f>+U31+'POM Actual &amp; Forecast'!V65</f>
        <v>1244285.4202231565</v>
      </c>
      <c r="W31" s="31">
        <f>+'Assumptions Summary'!W32</f>
        <v>1271998.443885745</v>
      </c>
      <c r="X31" s="31">
        <f>+'Assumptions Summary'!X32</f>
        <v>1587121.0619553179</v>
      </c>
      <c r="Y31" s="31">
        <f>+'Assumptions Summary'!Y32</f>
        <v>1902664.5332944219</v>
      </c>
      <c r="Z31" s="31">
        <f>+'Assumptions Summary'!Z32</f>
        <v>2042888.6328879057</v>
      </c>
      <c r="AA31" s="31">
        <f>+'Assumptions Summary'!AA32</f>
        <v>1978429.0826222738</v>
      </c>
      <c r="AB31" s="31">
        <f>+'Assumptions Summary'!AB32</f>
        <v>1786156.6578940668</v>
      </c>
      <c r="AC31" s="31"/>
      <c r="AE31" s="31">
        <f>+'Assumptions Summary'!AE32</f>
        <v>1184979.1691649565</v>
      </c>
      <c r="AF31" s="31">
        <f>+'Assumptions Summary'!AF32</f>
        <v>2662756.7971799006</v>
      </c>
      <c r="AG31" s="31">
        <f>+'Assumptions Summary'!AG32</f>
        <v>2414810.4308975721</v>
      </c>
      <c r="AH31" s="31">
        <f>+'Assumptions Summary'!AH32</f>
        <v>1673465.6871157589</v>
      </c>
      <c r="AI31" s="31">
        <f>+'Assumptions Summary'!AI32</f>
        <v>1518161.1755055587</v>
      </c>
      <c r="AJ31" s="31">
        <f>+'Assumptions Summary'!AJ32</f>
        <v>1590799.6668291313</v>
      </c>
      <c r="AK31" s="31">
        <f>+'Assumptions Summary'!AK32</f>
        <v>1739772.5946474867</v>
      </c>
      <c r="AL31" s="31">
        <f>+'Assumptions Summary'!AL32</f>
        <v>2086282.8985246138</v>
      </c>
      <c r="AM31" s="31">
        <f>+'Assumptions Summary'!AM32</f>
        <v>2313639.0035162843</v>
      </c>
      <c r="AN31" s="31">
        <f>+'Assumptions Summary'!AN32</f>
        <v>2200863.2209135792</v>
      </c>
      <c r="AO31" s="31">
        <f>+'Assumptions Summary'!AO32</f>
        <v>1970669.1372989113</v>
      </c>
      <c r="AP31" s="31">
        <f>+'Assumptions Summary'!AP32</f>
        <v>1663218.9564932541</v>
      </c>
    </row>
    <row r="32" spans="1:42" x14ac:dyDescent="0.15">
      <c r="A32" t="s">
        <v>116</v>
      </c>
      <c r="C32" s="35">
        <v>478250</v>
      </c>
      <c r="D32" s="35">
        <f>+C32+'POM Actual &amp; Forecast'!D43</f>
        <v>468250</v>
      </c>
      <c r="E32" s="35">
        <f>+D32+'POM Actual &amp; Forecast'!E43</f>
        <v>458250</v>
      </c>
      <c r="F32" s="35">
        <f>+E32+'POM Actual &amp; Forecast'!F43</f>
        <v>448250</v>
      </c>
      <c r="G32" s="35">
        <f>+F32+'POM Actual &amp; Forecast'!G43</f>
        <v>438250</v>
      </c>
      <c r="H32" s="35">
        <f>+G32+'POM Actual &amp; Forecast'!H43</f>
        <v>428250</v>
      </c>
      <c r="I32" s="35">
        <f>+H32+'POM Actual &amp; Forecast'!I43</f>
        <v>418250</v>
      </c>
      <c r="J32" s="35">
        <f>+I32+'POM Actual &amp; Forecast'!J43</f>
        <v>408250</v>
      </c>
      <c r="K32" s="35">
        <f>+J32+'POM Actual &amp; Forecast'!K43</f>
        <v>398250</v>
      </c>
      <c r="L32" s="35">
        <f>+K32+'POM Actual &amp; Forecast'!L43</f>
        <v>388250</v>
      </c>
      <c r="M32" s="35">
        <f>+L32+'POM Actual &amp; Forecast'!M43</f>
        <v>378250</v>
      </c>
      <c r="N32" s="35">
        <f>+M32+'POM Actual &amp; Forecast'!N43</f>
        <v>368250</v>
      </c>
      <c r="Q32" s="35">
        <f>+N32+'POM Actual &amp; Forecast'!Q43</f>
        <v>358250</v>
      </c>
      <c r="R32" s="35">
        <f>+Q32+'POM Actual &amp; Forecast'!R43</f>
        <v>348250</v>
      </c>
      <c r="S32" s="35">
        <f>+R32+'POM Actual &amp; Forecast'!S43</f>
        <v>338250</v>
      </c>
      <c r="T32" s="35">
        <f>+S32+'POM Actual &amp; Forecast'!T43</f>
        <v>328250</v>
      </c>
      <c r="U32" s="35">
        <f>+T32+'POM Actual &amp; Forecast'!U43</f>
        <v>318250</v>
      </c>
      <c r="V32" s="35">
        <f>+U32+'POM Actual &amp; Forecast'!V43</f>
        <v>308250</v>
      </c>
      <c r="W32" s="35">
        <f>+V32+'Assumptions Summary'!W34</f>
        <v>298250</v>
      </c>
      <c r="X32" s="35">
        <f>+W32+'Assumptions Summary'!X34</f>
        <v>288250</v>
      </c>
      <c r="Y32" s="35">
        <f>+X32+'Assumptions Summary'!Y34</f>
        <v>278250</v>
      </c>
      <c r="Z32" s="35">
        <f>+Y32+'Assumptions Summary'!Z34</f>
        <v>268250</v>
      </c>
      <c r="AA32" s="35">
        <f>+Z32+'Assumptions Summary'!AA34</f>
        <v>258250</v>
      </c>
      <c r="AB32" s="35">
        <f>+AA32+'Assumptions Summary'!AB34</f>
        <v>248250</v>
      </c>
      <c r="AC32" s="35"/>
      <c r="AE32" s="35">
        <f>+AB32+'Assumptions Summary'!AE34</f>
        <v>238250</v>
      </c>
      <c r="AF32" s="35">
        <f>+AE32+'Assumptions Summary'!AF34</f>
        <v>228250</v>
      </c>
      <c r="AG32" s="35">
        <f>+AF32+'Assumptions Summary'!AG34</f>
        <v>218250</v>
      </c>
      <c r="AH32" s="35">
        <f>+AG32+'Assumptions Summary'!AH34</f>
        <v>208250</v>
      </c>
      <c r="AI32" s="35">
        <f>+AH32+'Assumptions Summary'!AI34</f>
        <v>198250</v>
      </c>
      <c r="AJ32" s="35">
        <f>+AI32+'Assumptions Summary'!AJ34</f>
        <v>188250</v>
      </c>
      <c r="AK32" s="35">
        <f>+AJ32+'Assumptions Summary'!AK34</f>
        <v>156875</v>
      </c>
      <c r="AL32" s="35">
        <f>+AK32+'Assumptions Summary'!AL34</f>
        <v>125500</v>
      </c>
      <c r="AM32" s="35">
        <f>+AL32+'Assumptions Summary'!AM34</f>
        <v>94125</v>
      </c>
      <c r="AN32" s="35">
        <f>+AM32+'Assumptions Summary'!AN34</f>
        <v>62750</v>
      </c>
      <c r="AO32" s="35">
        <f>+AN32+'Assumptions Summary'!AO34</f>
        <v>31375</v>
      </c>
      <c r="AP32" s="35">
        <f>+AO32+'Assumptions Summary'!AP34</f>
        <v>0</v>
      </c>
    </row>
    <row r="33" spans="1:42" x14ac:dyDescent="0.15">
      <c r="A33" t="s">
        <v>118</v>
      </c>
      <c r="C33" s="24">
        <v>679321</v>
      </c>
      <c r="D33" s="24">
        <f>+C33*0.85</f>
        <v>577422.85</v>
      </c>
      <c r="E33" s="24">
        <f>+D33*0.97</f>
        <v>560100.16449999996</v>
      </c>
      <c r="F33" s="24">
        <f>+E33*1.2</f>
        <v>672120.19739999995</v>
      </c>
      <c r="G33" s="24">
        <f>+F33*0.9</f>
        <v>604908.17765999993</v>
      </c>
      <c r="H33" s="24">
        <f>+G33*1.03</f>
        <v>623055.42298979999</v>
      </c>
      <c r="I33" s="24">
        <f>+H33*1.1</f>
        <v>685360.96528878005</v>
      </c>
      <c r="J33" s="24">
        <f>+I33*1.03</f>
        <v>705921.79424744344</v>
      </c>
      <c r="K33" s="24">
        <f>+J33*0.92</f>
        <v>649448.05070764804</v>
      </c>
      <c r="L33" s="24">
        <f>+K33*0.98</f>
        <v>636459.08969349507</v>
      </c>
      <c r="M33" s="24">
        <f>+L33*1.1</f>
        <v>700104.99866284465</v>
      </c>
      <c r="N33" s="24">
        <f>+M33*1.03</f>
        <v>721108.14862273005</v>
      </c>
      <c r="Q33" s="24">
        <f>N33*1.03</f>
        <v>742741.39308141195</v>
      </c>
      <c r="R33" s="24">
        <f>+Q33*1.1</f>
        <v>817015.53238955326</v>
      </c>
      <c r="S33" s="24">
        <f>+R33*1.03</f>
        <v>841525.99836123991</v>
      </c>
      <c r="T33" s="24">
        <f>+S33*0.92</f>
        <v>774203.91849234072</v>
      </c>
      <c r="U33" s="24">
        <f>+T33*0.98</f>
        <v>758719.84012249392</v>
      </c>
      <c r="V33" s="24">
        <f>+U33*0.95</f>
        <v>720783.84811636922</v>
      </c>
      <c r="W33" s="24">
        <f>+'Assumptions Summary'!W42</f>
        <v>620090.54596707493</v>
      </c>
      <c r="X33" s="24">
        <f>+'Assumptions Summary'!X42</f>
        <v>780145.900680308</v>
      </c>
      <c r="Y33" s="24">
        <f>+'Assumptions Summary'!Y42</f>
        <v>940406.17925281229</v>
      </c>
      <c r="Z33" s="24">
        <f>+'Assumptions Summary'!Z42</f>
        <v>1005668.4912354216</v>
      </c>
      <c r="AA33" s="24">
        <f>+'Assumptions Summary'!AA42</f>
        <v>967308.87950180797</v>
      </c>
      <c r="AB33" s="24">
        <f>+'Assumptions Summary'!AB42</f>
        <v>870613.45536715875</v>
      </c>
      <c r="AC33" s="35"/>
      <c r="AE33" s="24">
        <f>+'Assumptions Summary'!AE42</f>
        <v>985844.23625126248</v>
      </c>
      <c r="AF33" s="24">
        <f>+'Assumptions Summary'!AF42</f>
        <v>1310333.5782628979</v>
      </c>
      <c r="AG33" s="24">
        <f>+'Assumptions Summary'!AG42</f>
        <v>1190460.593673497</v>
      </c>
      <c r="AH33" s="24">
        <f>+'Assumptions Summary'!AH42</f>
        <v>822905.32034285786</v>
      </c>
      <c r="AI33" s="24">
        <f>+'Assumptions Summary'!AI42</f>
        <v>744658.6973934311</v>
      </c>
      <c r="AJ33" s="24">
        <f>+'Assumptions Summary'!AJ42</f>
        <v>780926.02446277218</v>
      </c>
      <c r="AK33" s="24">
        <f>+'Assumptions Summary'!AK42</f>
        <v>856602.91568843881</v>
      </c>
      <c r="AL33" s="24">
        <f>+'Assumptions Summary'!AL42</f>
        <v>1032556.1652712998</v>
      </c>
      <c r="AM33" s="24">
        <f>+'Assumptions Summary'!AM42</f>
        <v>1147993.2102590424</v>
      </c>
      <c r="AN33" s="24">
        <f>+'Assumptions Summary'!AN42</f>
        <v>1090562.0917974459</v>
      </c>
      <c r="AO33" s="24">
        <f>+'Assumptions Summary'!AO42</f>
        <v>973453.70373202837</v>
      </c>
      <c r="AP33" s="24">
        <f>+'Assumptions Summary'!AP42</f>
        <v>817079.88408561307</v>
      </c>
    </row>
    <row r="34" spans="1:42" x14ac:dyDescent="0.15">
      <c r="A34" t="s">
        <v>71</v>
      </c>
      <c r="C34" s="23">
        <f>SUM(C31:C33)</f>
        <v>2841960</v>
      </c>
      <c r="D34" s="23">
        <f t="shared" ref="D34:N34" si="32">SUM(D31:D33)</f>
        <v>2859539.4156542057</v>
      </c>
      <c r="E34" s="23">
        <f t="shared" si="32"/>
        <v>2897195.5777686918</v>
      </c>
      <c r="F34" s="23">
        <f t="shared" si="32"/>
        <v>2628423.5402971557</v>
      </c>
      <c r="G34" s="23">
        <f t="shared" si="32"/>
        <v>2747489.0990185947</v>
      </c>
      <c r="H34" s="23">
        <f t="shared" si="32"/>
        <v>2915002.3525793278</v>
      </c>
      <c r="I34" s="23">
        <f t="shared" si="32"/>
        <v>2857301.080863344</v>
      </c>
      <c r="J34" s="23">
        <f t="shared" si="32"/>
        <v>3261696.5697852308</v>
      </c>
      <c r="K34" s="23">
        <f t="shared" si="32"/>
        <v>2888883.424926166</v>
      </c>
      <c r="L34" s="23">
        <f t="shared" si="32"/>
        <v>2692831.744103672</v>
      </c>
      <c r="M34" s="23">
        <f t="shared" si="32"/>
        <v>2617585.9715095251</v>
      </c>
      <c r="N34" s="23">
        <f t="shared" si="32"/>
        <v>2355359.5224481104</v>
      </c>
      <c r="Q34" s="23">
        <f>SUM(Q31:Q33)</f>
        <v>2442429.7669067923</v>
      </c>
      <c r="R34" s="23">
        <f t="shared" ref="R34" si="33">SUM(R31:R33)</f>
        <v>2775701.9062149338</v>
      </c>
      <c r="S34" s="23">
        <f t="shared" ref="S34" si="34">SUM(S31:S33)</f>
        <v>2957545.3721866207</v>
      </c>
      <c r="T34" s="23">
        <f t="shared" ref="T34" si="35">SUM(T31:T33)</f>
        <v>2724557.4936393611</v>
      </c>
      <c r="U34" s="23">
        <f t="shared" ref="U34" si="36">SUM(U31:U33)</f>
        <v>2573788.2366156699</v>
      </c>
      <c r="V34" s="23">
        <f t="shared" ref="V34" si="37">SUM(V31:V33)</f>
        <v>2273319.2683395259</v>
      </c>
      <c r="W34" s="23">
        <f t="shared" ref="W34" si="38">SUM(W31:W33)</f>
        <v>2190338.9898528201</v>
      </c>
      <c r="X34" s="23">
        <f t="shared" ref="X34" si="39">SUM(X31:X33)</f>
        <v>2655516.9626356261</v>
      </c>
      <c r="Y34" s="23">
        <f t="shared" ref="Y34" si="40">SUM(Y31:Y33)</f>
        <v>3121320.7125472338</v>
      </c>
      <c r="Z34" s="23">
        <f t="shared" ref="Z34" si="41">SUM(Z31:Z33)</f>
        <v>3316807.124123327</v>
      </c>
      <c r="AA34" s="23">
        <f t="shared" ref="AA34" si="42">SUM(AA31:AA33)</f>
        <v>3203987.9621240818</v>
      </c>
      <c r="AB34" s="23">
        <f t="shared" ref="AB34" si="43">SUM(AB31:AB33)</f>
        <v>2905020.1132612256</v>
      </c>
      <c r="AC34" s="23"/>
      <c r="AE34" s="23">
        <f t="shared" ref="AE34:AF34" si="44">SUM(AE31:AE33)</f>
        <v>2409073.405416219</v>
      </c>
      <c r="AF34" s="23">
        <f t="shared" si="44"/>
        <v>4201340.3754427982</v>
      </c>
      <c r="AG34" s="23">
        <f t="shared" ref="AG34:AP34" si="45">SUM(AG31:AG33)</f>
        <v>3823521.0245710691</v>
      </c>
      <c r="AH34" s="23">
        <f t="shared" si="45"/>
        <v>2704621.007458617</v>
      </c>
      <c r="AI34" s="23">
        <f t="shared" si="45"/>
        <v>2461069.8728989898</v>
      </c>
      <c r="AJ34" s="23">
        <f t="shared" si="45"/>
        <v>2559975.6912919036</v>
      </c>
      <c r="AK34" s="23">
        <f t="shared" si="45"/>
        <v>2753250.5103359255</v>
      </c>
      <c r="AL34" s="23">
        <f t="shared" si="45"/>
        <v>3244339.0637959139</v>
      </c>
      <c r="AM34" s="23">
        <f t="shared" si="45"/>
        <v>3555757.2137753265</v>
      </c>
      <c r="AN34" s="23">
        <f t="shared" si="45"/>
        <v>3354175.3127110251</v>
      </c>
      <c r="AO34" s="23">
        <f t="shared" si="45"/>
        <v>2975497.8410309395</v>
      </c>
      <c r="AP34" s="23">
        <f t="shared" si="45"/>
        <v>2480298.8405788671</v>
      </c>
    </row>
    <row r="35" spans="1:42" x14ac:dyDescent="0.1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</row>
    <row r="36" spans="1:42" x14ac:dyDescent="0.15">
      <c r="A36" s="16" t="s">
        <v>72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</row>
    <row r="37" spans="1:42" x14ac:dyDescent="0.15">
      <c r="A37" t="s">
        <v>73</v>
      </c>
      <c r="C37" s="35">
        <v>1169245</v>
      </c>
      <c r="D37" s="35">
        <f>+C37+'POM Actual &amp; Forecast'!D44</f>
        <v>1164245</v>
      </c>
      <c r="E37" s="35">
        <f>+D37+'POM Actual &amp; Forecast'!E44</f>
        <v>1159245</v>
      </c>
      <c r="F37" s="35">
        <f>+E37+'POM Actual &amp; Forecast'!F44</f>
        <v>1154245</v>
      </c>
      <c r="G37" s="35">
        <f>+F37+'POM Actual &amp; Forecast'!G44</f>
        <v>1149245</v>
      </c>
      <c r="H37" s="35">
        <f>+G37+'POM Actual &amp; Forecast'!H44</f>
        <v>1144245</v>
      </c>
      <c r="I37" s="35">
        <f>+H37+'POM Actual &amp; Forecast'!I44</f>
        <v>1139245</v>
      </c>
      <c r="J37" s="35">
        <f>+I37+'POM Actual &amp; Forecast'!J44</f>
        <v>1134245</v>
      </c>
      <c r="K37" s="35">
        <f>+J37+'POM Actual &amp; Forecast'!K44</f>
        <v>1129245</v>
      </c>
      <c r="L37" s="35">
        <f>+K37+'POM Actual &amp; Forecast'!L44</f>
        <v>1124245</v>
      </c>
      <c r="M37" s="35">
        <f>+L37+'POM Actual &amp; Forecast'!M44</f>
        <v>1119245</v>
      </c>
      <c r="N37" s="35">
        <f>+M37+'POM Actual &amp; Forecast'!N44</f>
        <v>1114245</v>
      </c>
      <c r="Q37" s="35">
        <f>+N37+'POM Actual &amp; Forecast'!Q44</f>
        <v>1109245</v>
      </c>
      <c r="R37" s="35">
        <f>+Q37+'POM Actual &amp; Forecast'!R44</f>
        <v>1104245</v>
      </c>
      <c r="S37" s="35">
        <f>+R37+'POM Actual &amp; Forecast'!S44</f>
        <v>1099245</v>
      </c>
      <c r="T37" s="35">
        <f>+S37+'POM Actual &amp; Forecast'!T44</f>
        <v>1094245</v>
      </c>
      <c r="U37" s="35">
        <f>+T37+'POM Actual &amp; Forecast'!U44</f>
        <v>1089245</v>
      </c>
      <c r="V37" s="35">
        <f>+U37+'POM Actual &amp; Forecast'!V44</f>
        <v>1084245</v>
      </c>
      <c r="W37" s="35">
        <f>+V37+'Assumptions Summary'!W35</f>
        <v>1079245</v>
      </c>
      <c r="X37" s="35">
        <f>+W37+'Assumptions Summary'!X35</f>
        <v>1074245</v>
      </c>
      <c r="Y37" s="35">
        <f>+X37+'Assumptions Summary'!Y35</f>
        <v>1069245</v>
      </c>
      <c r="Z37" s="35">
        <f>+Y37+'Assumptions Summary'!Z35</f>
        <v>1064245</v>
      </c>
      <c r="AA37" s="35">
        <f>+Z37+'Assumptions Summary'!AA35</f>
        <v>1059245</v>
      </c>
      <c r="AB37" s="35">
        <f>+AA37+'Assumptions Summary'!AB35</f>
        <v>1054245</v>
      </c>
      <c r="AC37" s="35"/>
      <c r="AE37" s="35">
        <f>+AB37+'Assumptions Summary'!AE35</f>
        <v>1049245</v>
      </c>
      <c r="AF37" s="35">
        <f>+AE37+'Assumptions Summary'!AF35</f>
        <v>1044245</v>
      </c>
      <c r="AG37" s="35">
        <f>+AF37+'Assumptions Summary'!AG35</f>
        <v>1039245</v>
      </c>
      <c r="AH37" s="35">
        <f>+AG37+'Assumptions Summary'!AH35</f>
        <v>1034245</v>
      </c>
      <c r="AI37" s="35">
        <f>+AH37+'Assumptions Summary'!AI35</f>
        <v>1029245</v>
      </c>
      <c r="AJ37" s="35">
        <f>+AI37+'Assumptions Summary'!AJ35</f>
        <v>1024245</v>
      </c>
      <c r="AK37" s="35">
        <f>+AJ37+'Assumptions Summary'!AK35</f>
        <v>853537.5</v>
      </c>
      <c r="AL37" s="35">
        <f>+AK37+'Assumptions Summary'!AL35</f>
        <v>682830</v>
      </c>
      <c r="AM37" s="35">
        <f>+AL37+'Assumptions Summary'!AM35</f>
        <v>512122.5</v>
      </c>
      <c r="AN37" s="35">
        <f>+AM37+'Assumptions Summary'!AN35</f>
        <v>341415</v>
      </c>
      <c r="AO37" s="35">
        <f>+AN37+'Assumptions Summary'!AO35</f>
        <v>170707.5</v>
      </c>
      <c r="AP37" s="35">
        <f>+AO37+'Assumptions Summary'!AP35</f>
        <v>0</v>
      </c>
    </row>
    <row r="38" spans="1:42" x14ac:dyDescent="0.15">
      <c r="C38" s="23"/>
      <c r="D38" s="23"/>
      <c r="F38" s="23"/>
      <c r="K38" s="23"/>
      <c r="Q38" s="23"/>
      <c r="R38" s="23"/>
      <c r="T38" s="23"/>
      <c r="Y38" s="23"/>
      <c r="AE38" s="23"/>
    </row>
    <row r="39" spans="1:42" x14ac:dyDescent="0.15">
      <c r="A39" s="16" t="s">
        <v>74</v>
      </c>
      <c r="C39" s="23"/>
      <c r="D39" s="23"/>
      <c r="F39" s="23"/>
      <c r="K39" s="23"/>
      <c r="Q39" s="23"/>
      <c r="R39" s="23"/>
      <c r="T39" s="23"/>
      <c r="Y39" s="23"/>
      <c r="AE39" s="23"/>
    </row>
    <row r="40" spans="1:42" x14ac:dyDescent="0.15">
      <c r="A40" s="26" t="s">
        <v>207</v>
      </c>
      <c r="C40" s="23">
        <v>500000</v>
      </c>
      <c r="D40" s="23">
        <f>+C40</f>
        <v>500000</v>
      </c>
      <c r="E40" s="23">
        <f t="shared" ref="E40:N40" si="46">+D40</f>
        <v>500000</v>
      </c>
      <c r="F40" s="23">
        <f t="shared" si="46"/>
        <v>500000</v>
      </c>
      <c r="G40" s="23">
        <f t="shared" si="46"/>
        <v>500000</v>
      </c>
      <c r="H40" s="23">
        <f t="shared" si="46"/>
        <v>500000</v>
      </c>
      <c r="I40" s="23">
        <f t="shared" si="46"/>
        <v>500000</v>
      </c>
      <c r="J40" s="23">
        <f t="shared" si="46"/>
        <v>500000</v>
      </c>
      <c r="K40" s="23">
        <f t="shared" si="46"/>
        <v>500000</v>
      </c>
      <c r="L40" s="23">
        <f t="shared" si="46"/>
        <v>500000</v>
      </c>
      <c r="M40" s="23">
        <f t="shared" si="46"/>
        <v>500000</v>
      </c>
      <c r="N40" s="23">
        <f t="shared" si="46"/>
        <v>500000</v>
      </c>
      <c r="Q40" s="23">
        <f>+N40</f>
        <v>500000</v>
      </c>
      <c r="R40" s="23">
        <f>+Q40</f>
        <v>500000</v>
      </c>
      <c r="S40" s="23">
        <f t="shared" ref="S40:AB40" si="47">+R40</f>
        <v>500000</v>
      </c>
      <c r="T40" s="23">
        <f t="shared" si="47"/>
        <v>500000</v>
      </c>
      <c r="U40" s="23">
        <f t="shared" si="47"/>
        <v>500000</v>
      </c>
      <c r="V40" s="23">
        <f t="shared" si="47"/>
        <v>500000</v>
      </c>
      <c r="W40" s="23">
        <f t="shared" si="47"/>
        <v>500000</v>
      </c>
      <c r="X40" s="23">
        <f t="shared" si="47"/>
        <v>500000</v>
      </c>
      <c r="Y40" s="23">
        <f t="shared" si="47"/>
        <v>500000</v>
      </c>
      <c r="Z40" s="23">
        <f t="shared" si="47"/>
        <v>500000</v>
      </c>
      <c r="AA40" s="23">
        <f t="shared" si="47"/>
        <v>500000</v>
      </c>
      <c r="AB40" s="23">
        <f t="shared" si="47"/>
        <v>500000</v>
      </c>
      <c r="AC40" s="23"/>
      <c r="AE40" s="23">
        <f>+AB40</f>
        <v>500000</v>
      </c>
      <c r="AF40" s="23">
        <f t="shared" ref="AF40" si="48">+AE40</f>
        <v>500000</v>
      </c>
      <c r="AG40" s="23">
        <f t="shared" ref="AG40" si="49">+AF40</f>
        <v>500000</v>
      </c>
      <c r="AH40" s="23">
        <f t="shared" ref="AH40" si="50">+AG40</f>
        <v>500000</v>
      </c>
      <c r="AI40" s="23">
        <f t="shared" ref="AI40" si="51">+AH40</f>
        <v>500000</v>
      </c>
      <c r="AJ40" s="23">
        <f t="shared" ref="AJ40" si="52">+AI40</f>
        <v>500000</v>
      </c>
      <c r="AK40" s="23">
        <f t="shared" ref="AK40" si="53">+AJ40</f>
        <v>500000</v>
      </c>
      <c r="AL40" s="23">
        <f t="shared" ref="AL40" si="54">+AK40</f>
        <v>500000</v>
      </c>
      <c r="AM40" s="23">
        <f t="shared" ref="AM40" si="55">+AL40</f>
        <v>500000</v>
      </c>
      <c r="AN40" s="23">
        <f t="shared" ref="AN40" si="56">+AM40</f>
        <v>500000</v>
      </c>
      <c r="AO40" s="23">
        <f t="shared" ref="AO40" si="57">+AN40</f>
        <v>500000</v>
      </c>
      <c r="AP40" s="23">
        <f t="shared" ref="AP40" si="58">+AO40</f>
        <v>500000</v>
      </c>
    </row>
    <row r="41" spans="1:42" x14ac:dyDescent="0.15">
      <c r="A41" s="26" t="s">
        <v>96</v>
      </c>
      <c r="C41" s="23">
        <f>-495000+'POM Actual &amp; Forecast'!C64</f>
        <v>-570000</v>
      </c>
      <c r="D41" s="23">
        <f>+C41+'POM Actual &amp; Forecast'!D64</f>
        <v>-645000</v>
      </c>
      <c r="E41" s="23">
        <f>+D41+'POM Actual &amp; Forecast'!E64</f>
        <v>-720000</v>
      </c>
      <c r="F41" s="23">
        <f>+E41+'POM Actual &amp; Forecast'!F64</f>
        <v>-795000</v>
      </c>
      <c r="G41" s="23">
        <f>+F41+'POM Actual &amp; Forecast'!G64</f>
        <v>-870000</v>
      </c>
      <c r="H41" s="23">
        <f>+G41+'POM Actual &amp; Forecast'!H64</f>
        <v>-945000</v>
      </c>
      <c r="I41" s="23">
        <f>+H41+'POM Actual &amp; Forecast'!I64</f>
        <v>-1020000</v>
      </c>
      <c r="J41" s="23">
        <f>+I41+'POM Actual &amp; Forecast'!J64</f>
        <v>-1095000</v>
      </c>
      <c r="K41" s="23">
        <f>+J41+'POM Actual &amp; Forecast'!K64</f>
        <v>-1170000</v>
      </c>
      <c r="L41" s="23">
        <f>+K41+'POM Actual &amp; Forecast'!L64</f>
        <v>-1245000</v>
      </c>
      <c r="M41" s="23">
        <f>+L41+'POM Actual &amp; Forecast'!M64</f>
        <v>-1320000</v>
      </c>
      <c r="N41" s="23">
        <f>+M41+'POM Actual &amp; Forecast'!N64</f>
        <v>-1720000</v>
      </c>
      <c r="Q41" s="23">
        <f>N41+'POM Actual &amp; Forecast'!Q64</f>
        <v>-1820000</v>
      </c>
      <c r="R41" s="23">
        <f>+Q41+'POM Actual &amp; Forecast'!R64</f>
        <v>-1920000</v>
      </c>
      <c r="S41" s="23">
        <f>+R41+'POM Actual &amp; Forecast'!S64</f>
        <v>-2020000</v>
      </c>
      <c r="T41" s="23">
        <f>+S41+'POM Actual &amp; Forecast'!T64</f>
        <v>-2120000</v>
      </c>
      <c r="U41" s="23">
        <f>+T41+'POM Actual &amp; Forecast'!U64</f>
        <v>-2220000</v>
      </c>
      <c r="V41" s="23">
        <f>+U41+'POM Actual &amp; Forecast'!V64</f>
        <v>-2320000</v>
      </c>
      <c r="W41" s="23">
        <f>+V41+'Assumptions Summary'!W38</f>
        <v>-2420000</v>
      </c>
      <c r="X41" s="23">
        <f>+W41+'Assumptions Summary'!X38</f>
        <v>-2420000</v>
      </c>
      <c r="Y41" s="23">
        <f>+X41+'Assumptions Summary'!Y38</f>
        <v>-2420000</v>
      </c>
      <c r="Z41" s="23">
        <f>+Y41+'Assumptions Summary'!Z38</f>
        <v>-2420000</v>
      </c>
      <c r="AA41" s="23">
        <f>+Z41+'Assumptions Summary'!AA38</f>
        <v>-2420000</v>
      </c>
      <c r="AB41" s="23">
        <f>+AA41+'Assumptions Summary'!AB38</f>
        <v>-2420000</v>
      </c>
      <c r="AC41" s="23"/>
      <c r="AE41" s="23">
        <f>+AB41+'Assumptions Summary'!AE38</f>
        <v>-2420000</v>
      </c>
      <c r="AF41" s="23">
        <f>+AE41+'Assumptions Summary'!AF38</f>
        <v>-2420000</v>
      </c>
      <c r="AG41" s="23">
        <f>+AF41+'Assumptions Summary'!AG38</f>
        <v>-2520000</v>
      </c>
      <c r="AH41" s="23">
        <f>+AG41+'Assumptions Summary'!AH38</f>
        <v>-2620000</v>
      </c>
      <c r="AI41" s="23">
        <f>+AH41+'Assumptions Summary'!AI38</f>
        <v>-2720000</v>
      </c>
      <c r="AJ41" s="23">
        <f>+AI41+'Assumptions Summary'!AJ38</f>
        <v>-2820000</v>
      </c>
      <c r="AK41" s="23">
        <f>+AJ41+'Assumptions Summary'!AK38</f>
        <v>-2920000</v>
      </c>
      <c r="AL41" s="23">
        <f>+AK41+'Assumptions Summary'!AL38</f>
        <v>-3020000</v>
      </c>
      <c r="AM41" s="23">
        <f>+AL41+'Assumptions Summary'!AM38</f>
        <v>-3120000</v>
      </c>
      <c r="AN41" s="23">
        <f>+AM41+'Assumptions Summary'!AN38</f>
        <v>-3220000</v>
      </c>
      <c r="AO41" s="23">
        <f>+AN41+'Assumptions Summary'!AO38</f>
        <v>-3320000</v>
      </c>
      <c r="AP41" s="23">
        <f>+AO41+'Assumptions Summary'!AP38</f>
        <v>-3920000</v>
      </c>
    </row>
    <row r="42" spans="1:42" x14ac:dyDescent="0.15">
      <c r="A42" s="26" t="s">
        <v>75</v>
      </c>
      <c r="C42" s="28">
        <v>850011</v>
      </c>
      <c r="D42" s="28">
        <f>+C42+'IS Actual &amp; Forecast'!D46</f>
        <v>1024860.9942000002</v>
      </c>
      <c r="E42" s="28">
        <f>+D42+'IS Actual &amp; Forecast'!E46</f>
        <v>1154733.4679108574</v>
      </c>
      <c r="F42" s="28">
        <f>+E42+'IS Actual &amp; Forecast'!F46</f>
        <v>1220618.079079916</v>
      </c>
      <c r="G42" s="28">
        <f>+F42+'IS Actual &amp; Forecast'!G46</f>
        <v>1328304.1301500474</v>
      </c>
      <c r="H42" s="28">
        <f>+G42+'IS Actual &amp; Forecast'!H46</f>
        <v>1496019.6317961139</v>
      </c>
      <c r="I42" s="28">
        <f>+H42+'IS Actual &amp; Forecast'!I46</f>
        <v>1670811.7748600477</v>
      </c>
      <c r="J42" s="28">
        <f>+I42+'IS Actual &amp; Forecast'!J46</f>
        <v>1853582.8725987305</v>
      </c>
      <c r="K42" s="28">
        <f>+J42+'IS Actual &amp; Forecast'!K46</f>
        <v>1998636.6120995765</v>
      </c>
      <c r="L42" s="28">
        <f>+K42+'IS Actual &amp; Forecast'!L46</f>
        <v>2059140.2479784004</v>
      </c>
      <c r="M42" s="28">
        <f>+L42+'IS Actual &amp; Forecast'!M46</f>
        <v>2170078.6869677748</v>
      </c>
      <c r="N42" s="28">
        <f>+M42+'IS Actual &amp; Forecast'!N46</f>
        <v>2234754.5753100244</v>
      </c>
      <c r="Q42" s="28">
        <f>N42+'IS Actual &amp; Forecast'!Q46</f>
        <v>2360546.6017852351</v>
      </c>
      <c r="R42" s="28">
        <f>+Q42+'IS Actual &amp; Forecast'!R46</f>
        <v>2597813.2043952351</v>
      </c>
      <c r="S42" s="28">
        <f>+R42+'IS Actual &amp; Forecast'!S46</f>
        <v>2758953.6925276327</v>
      </c>
      <c r="T42" s="28">
        <f>+S42+'IS Actual &amp; Forecast'!T46</f>
        <v>2826751.4100061315</v>
      </c>
      <c r="U42" s="28">
        <f>+T42+'IS Actual &amp; Forecast'!U46</f>
        <v>2903873.8751706588</v>
      </c>
      <c r="V42" s="28">
        <f>+U42+'IS Actual &amp; Forecast'!V46</f>
        <v>2945039.1925362856</v>
      </c>
      <c r="W42" s="28">
        <f>+V42+'IS Actual &amp; Forecast'!W46</f>
        <v>3042244.010239732</v>
      </c>
      <c r="X42" s="28">
        <f>+W42+'IS Actual &amp; Forecast'!X46</f>
        <v>3214062.1480399012</v>
      </c>
      <c r="Y42" s="28">
        <f>+X42+'IS Actual &amp; Forecast'!Y46</f>
        <v>3442024.2111031348</v>
      </c>
      <c r="Z42" s="28">
        <f>+Y42+'IS Actual &amp; Forecast'!Z46</f>
        <v>3637575.372353761</v>
      </c>
      <c r="AA42" s="28">
        <f>+Z42+'IS Actual &amp; Forecast'!AA46</f>
        <v>3804809.3891760251</v>
      </c>
      <c r="AB42" s="28">
        <f>+AA42+'IS Actual &amp; Forecast'!AB46</f>
        <v>3922270.8360954165</v>
      </c>
      <c r="AC42" s="43"/>
      <c r="AE42" s="28">
        <f>+AB42+'IS Actual &amp; Forecast'!AE46</f>
        <v>4175010.5911412598</v>
      </c>
      <c r="AF42" s="28">
        <f>+AE42+'IS Actual &amp; Forecast'!AF46</f>
        <v>4542485.5632130867</v>
      </c>
      <c r="AG42" s="28">
        <f>+AF42+'IS Actual &amp; Forecast'!AG46</f>
        <v>4724485.5718398467</v>
      </c>
      <c r="AH42" s="28">
        <f>+AG42+'IS Actual &amp; Forecast'!AH46</f>
        <v>4829364.1882622531</v>
      </c>
      <c r="AI42" s="28">
        <f>+AH42+'IS Actual &amp; Forecast'!AI46</f>
        <v>4949541.5639233449</v>
      </c>
      <c r="AJ42" s="28">
        <f>+AI42+'IS Actual &amp; Forecast'!AJ46</f>
        <v>5081722.9515544055</v>
      </c>
      <c r="AK42" s="28">
        <f>+AJ42+'IS Actual &amp; Forecast'!AK46</f>
        <v>5265877.8864273708</v>
      </c>
      <c r="AL42" s="28">
        <f>+AK42+'IS Actual &amp; Forecast'!AL46</f>
        <v>5545973.4229914416</v>
      </c>
      <c r="AM42" s="28">
        <f>+AL42+'IS Actual &amp; Forecast'!AM46</f>
        <v>5827811.4474829687</v>
      </c>
      <c r="AN42" s="28">
        <f>+AM42+'IS Actual &amp; Forecast'!AN46</f>
        <v>6061527.9180624392</v>
      </c>
      <c r="AO42" s="28">
        <f>+AN42+'IS Actual &amp; Forecast'!AO46</f>
        <v>6247250.412310183</v>
      </c>
      <c r="AP42" s="28">
        <f>+AO42+'IS Actual &amp; Forecast'!AP46</f>
        <v>6352124.6993431468</v>
      </c>
    </row>
    <row r="43" spans="1:42" x14ac:dyDescent="0.15">
      <c r="A43" s="26" t="s">
        <v>76</v>
      </c>
      <c r="C43" s="23">
        <f>SUM(C40:C42)</f>
        <v>780011</v>
      </c>
      <c r="D43" s="23">
        <f t="shared" ref="D43:N43" si="59">SUM(D40:D42)</f>
        <v>879860.99420000019</v>
      </c>
      <c r="E43" s="23">
        <f t="shared" si="59"/>
        <v>934733.46791085741</v>
      </c>
      <c r="F43" s="23">
        <f t="shared" si="59"/>
        <v>925618.079079916</v>
      </c>
      <c r="G43" s="23">
        <f t="shared" si="59"/>
        <v>958304.13015004736</v>
      </c>
      <c r="H43" s="23">
        <f t="shared" si="59"/>
        <v>1051019.6317961139</v>
      </c>
      <c r="I43" s="23">
        <f t="shared" si="59"/>
        <v>1150811.7748600477</v>
      </c>
      <c r="J43" s="23">
        <f t="shared" si="59"/>
        <v>1258582.8725987305</v>
      </c>
      <c r="K43" s="23">
        <f t="shared" si="59"/>
        <v>1328636.6120995765</v>
      </c>
      <c r="L43" s="23">
        <f t="shared" si="59"/>
        <v>1314140.2479784004</v>
      </c>
      <c r="M43" s="23">
        <f t="shared" si="59"/>
        <v>1350078.6869677748</v>
      </c>
      <c r="N43" s="23">
        <f t="shared" si="59"/>
        <v>1014754.5753100244</v>
      </c>
      <c r="Q43" s="23">
        <f>SUM(Q40:Q42)</f>
        <v>1040546.6017852351</v>
      </c>
      <c r="R43" s="23">
        <f t="shared" ref="R43:AB43" si="60">SUM(R40:R42)</f>
        <v>1177813.2043952351</v>
      </c>
      <c r="S43" s="23">
        <f t="shared" si="60"/>
        <v>1238953.6925276327</v>
      </c>
      <c r="T43" s="23">
        <f t="shared" si="60"/>
        <v>1206751.4100061315</v>
      </c>
      <c r="U43" s="23">
        <f t="shared" si="60"/>
        <v>1183873.8751706588</v>
      </c>
      <c r="V43" s="23">
        <f t="shared" si="60"/>
        <v>1125039.1925362856</v>
      </c>
      <c r="W43" s="23">
        <f t="shared" si="60"/>
        <v>1122244.010239732</v>
      </c>
      <c r="X43" s="23">
        <f t="shared" si="60"/>
        <v>1294062.1480399012</v>
      </c>
      <c r="Y43" s="23">
        <f t="shared" si="60"/>
        <v>1522024.2111031348</v>
      </c>
      <c r="Z43" s="23">
        <f t="shared" si="60"/>
        <v>1717575.372353761</v>
      </c>
      <c r="AA43" s="23">
        <f t="shared" si="60"/>
        <v>1884809.3891760251</v>
      </c>
      <c r="AB43" s="23">
        <f t="shared" si="60"/>
        <v>2002270.8360954165</v>
      </c>
      <c r="AC43" s="23"/>
      <c r="AE43" s="23">
        <f>SUM(AE40:AE42)</f>
        <v>2255010.5911412598</v>
      </c>
      <c r="AF43" s="23">
        <f t="shared" ref="AF43:AP43" si="61">SUM(AF40:AF42)</f>
        <v>2622485.5632130867</v>
      </c>
      <c r="AG43" s="23">
        <f t="shared" si="61"/>
        <v>2704485.5718398467</v>
      </c>
      <c r="AH43" s="23">
        <f t="shared" si="61"/>
        <v>2709364.1882622531</v>
      </c>
      <c r="AI43" s="23">
        <f t="shared" si="61"/>
        <v>2729541.5639233449</v>
      </c>
      <c r="AJ43" s="23">
        <f t="shared" si="61"/>
        <v>2761722.9515544055</v>
      </c>
      <c r="AK43" s="23">
        <f t="shared" si="61"/>
        <v>2845877.8864273708</v>
      </c>
      <c r="AL43" s="23">
        <f t="shared" si="61"/>
        <v>3025973.4229914416</v>
      </c>
      <c r="AM43" s="23">
        <f t="shared" si="61"/>
        <v>3207811.4474829687</v>
      </c>
      <c r="AN43" s="23">
        <f t="shared" si="61"/>
        <v>3341527.9180624392</v>
      </c>
      <c r="AO43" s="23">
        <f t="shared" si="61"/>
        <v>3427250.412310183</v>
      </c>
      <c r="AP43" s="23">
        <f t="shared" si="61"/>
        <v>2932124.6993431468</v>
      </c>
    </row>
    <row r="44" spans="1:42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</row>
    <row r="45" spans="1:42" ht="14" thickBot="1" x14ac:dyDescent="0.2">
      <c r="A45" t="s">
        <v>77</v>
      </c>
      <c r="C45" s="32">
        <f>C34+C37+C43</f>
        <v>4791216</v>
      </c>
      <c r="D45" s="32">
        <f t="shared" ref="D45:N45" si="62">D34+D37+D43</f>
        <v>4903645.4098542063</v>
      </c>
      <c r="E45" s="32">
        <f t="shared" si="62"/>
        <v>4991174.0456795488</v>
      </c>
      <c r="F45" s="32">
        <f t="shared" si="62"/>
        <v>4708286.619377072</v>
      </c>
      <c r="G45" s="32">
        <f t="shared" si="62"/>
        <v>4855038.2291686423</v>
      </c>
      <c r="H45" s="32">
        <f t="shared" si="62"/>
        <v>5110266.9843754414</v>
      </c>
      <c r="I45" s="32">
        <f t="shared" si="62"/>
        <v>5147357.8557233922</v>
      </c>
      <c r="J45" s="32">
        <f t="shared" si="62"/>
        <v>5654524.4423839618</v>
      </c>
      <c r="K45" s="32">
        <f t="shared" si="62"/>
        <v>5346765.0370257422</v>
      </c>
      <c r="L45" s="32">
        <f t="shared" si="62"/>
        <v>5131216.9920820724</v>
      </c>
      <c r="M45" s="32">
        <f t="shared" si="62"/>
        <v>5086909.6584772998</v>
      </c>
      <c r="N45" s="32">
        <f t="shared" si="62"/>
        <v>4484359.0977581348</v>
      </c>
      <c r="Q45" s="32">
        <f>Q34+Q37+Q43</f>
        <v>4592221.3686920274</v>
      </c>
      <c r="R45" s="32">
        <f t="shared" ref="R45:AB45" si="63">R34+R37+R43</f>
        <v>5057760.1106101684</v>
      </c>
      <c r="S45" s="32">
        <f t="shared" si="63"/>
        <v>5295744.0647142529</v>
      </c>
      <c r="T45" s="32">
        <f t="shared" si="63"/>
        <v>5025553.9036454931</v>
      </c>
      <c r="U45" s="32">
        <f t="shared" si="63"/>
        <v>4846907.1117863283</v>
      </c>
      <c r="V45" s="32">
        <f t="shared" si="63"/>
        <v>4482603.4608758111</v>
      </c>
      <c r="W45" s="32">
        <f t="shared" si="63"/>
        <v>4391828.000092552</v>
      </c>
      <c r="X45" s="32">
        <f t="shared" si="63"/>
        <v>5023824.1106755268</v>
      </c>
      <c r="Y45" s="32">
        <f t="shared" si="63"/>
        <v>5712589.923650369</v>
      </c>
      <c r="Z45" s="32">
        <f t="shared" si="63"/>
        <v>6098627.496477088</v>
      </c>
      <c r="AA45" s="32">
        <f t="shared" si="63"/>
        <v>6148042.3513001064</v>
      </c>
      <c r="AB45" s="32">
        <f t="shared" si="63"/>
        <v>5961535.9493566416</v>
      </c>
      <c r="AC45" s="42"/>
      <c r="AE45" s="32">
        <f t="shared" ref="AE45:AF45" si="64">AE34+AE37+AE43</f>
        <v>5713328.9965574788</v>
      </c>
      <c r="AF45" s="32">
        <f t="shared" si="64"/>
        <v>7868070.9386558849</v>
      </c>
      <c r="AG45" s="32">
        <f t="shared" ref="AG45:AP45" si="65">AG34+AG37+AG43</f>
        <v>7567251.5964109153</v>
      </c>
      <c r="AH45" s="32">
        <f t="shared" si="65"/>
        <v>6448230.19572087</v>
      </c>
      <c r="AI45" s="32">
        <f t="shared" si="65"/>
        <v>6219856.4368223343</v>
      </c>
      <c r="AJ45" s="32">
        <f t="shared" si="65"/>
        <v>6345943.6428463086</v>
      </c>
      <c r="AK45" s="32">
        <f t="shared" si="65"/>
        <v>6452665.8967632968</v>
      </c>
      <c r="AL45" s="32">
        <f t="shared" si="65"/>
        <v>6953142.4867873555</v>
      </c>
      <c r="AM45" s="32">
        <f t="shared" si="65"/>
        <v>7275691.1612582952</v>
      </c>
      <c r="AN45" s="32">
        <f t="shared" si="65"/>
        <v>7037118.2307734638</v>
      </c>
      <c r="AO45" s="32">
        <f t="shared" si="65"/>
        <v>6573455.7533411225</v>
      </c>
      <c r="AP45" s="32">
        <f t="shared" si="65"/>
        <v>5412423.5399220139</v>
      </c>
    </row>
    <row r="46" spans="1:42" ht="14" thickTop="1" x14ac:dyDescent="0.1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</row>
    <row r="47" spans="1:42" x14ac:dyDescent="0.15">
      <c r="C47" s="23">
        <f>C25-C45</f>
        <v>-0.47499999962747097</v>
      </c>
      <c r="D47" s="23">
        <f t="shared" ref="D47:N47" si="66">D25-D45</f>
        <v>-0.47500000055879354</v>
      </c>
      <c r="E47" s="23">
        <f t="shared" si="66"/>
        <v>-0.4749999986961484</v>
      </c>
      <c r="F47" s="23">
        <f t="shared" si="66"/>
        <v>-0.47500000055879354</v>
      </c>
      <c r="G47" s="23">
        <f t="shared" si="66"/>
        <v>-0.47500000055879354</v>
      </c>
      <c r="H47" s="23">
        <f t="shared" si="66"/>
        <v>-0.47499999962747097</v>
      </c>
      <c r="I47" s="23">
        <f t="shared" si="66"/>
        <v>-0.47500000149011612</v>
      </c>
      <c r="J47" s="23">
        <f t="shared" si="66"/>
        <v>-0.47500000055879354</v>
      </c>
      <c r="K47" s="23">
        <f t="shared" si="66"/>
        <v>-0.47500000055879354</v>
      </c>
      <c r="L47" s="23">
        <f t="shared" si="66"/>
        <v>-0.47500000055879354</v>
      </c>
      <c r="M47" s="23">
        <f t="shared" si="66"/>
        <v>-0.47500000055879354</v>
      </c>
      <c r="N47" s="23">
        <f t="shared" si="66"/>
        <v>-0.47499999962747097</v>
      </c>
      <c r="Q47" s="23">
        <f>Q25-Q45</f>
        <v>-0.4749999949708581</v>
      </c>
      <c r="R47" s="23">
        <f t="shared" ref="R47:AB47" si="67">R25-R45</f>
        <v>-0.4749999949708581</v>
      </c>
      <c r="S47" s="23">
        <f t="shared" si="67"/>
        <v>-0.47499999403953552</v>
      </c>
      <c r="T47" s="23">
        <f t="shared" si="67"/>
        <v>-0.47499999590218067</v>
      </c>
      <c r="U47" s="23">
        <f t="shared" si="67"/>
        <v>-0.47499999403953552</v>
      </c>
      <c r="V47" s="23">
        <f t="shared" si="67"/>
        <v>-0.47499999403953552</v>
      </c>
      <c r="W47" s="40">
        <f t="shared" si="67"/>
        <v>-0.4749999949708581</v>
      </c>
      <c r="X47" s="23">
        <f t="shared" si="67"/>
        <v>-0.47499999403953552</v>
      </c>
      <c r="Y47" s="23">
        <f t="shared" si="67"/>
        <v>-0.4749999949708581</v>
      </c>
      <c r="Z47" s="23">
        <f t="shared" si="67"/>
        <v>-0.47499999310821295</v>
      </c>
      <c r="AA47" s="23">
        <f t="shared" si="67"/>
        <v>-0.47499999310821295</v>
      </c>
      <c r="AB47" s="23">
        <f t="shared" si="67"/>
        <v>-0.47499999403953552</v>
      </c>
      <c r="AC47" s="23"/>
      <c r="AE47" s="23">
        <f>AE25-AE45</f>
        <v>-0.47499999217689037</v>
      </c>
      <c r="AF47" s="23">
        <f t="shared" ref="AF47:AP47" si="68">AF25-AF45</f>
        <v>-0.47499999403953552</v>
      </c>
      <c r="AG47" s="23">
        <f t="shared" si="68"/>
        <v>-0.47499999403953552</v>
      </c>
      <c r="AH47" s="23">
        <f t="shared" si="68"/>
        <v>-0.4749999949708581</v>
      </c>
      <c r="AI47" s="23">
        <f t="shared" si="68"/>
        <v>-0.47499999310821295</v>
      </c>
      <c r="AJ47" s="23">
        <f t="shared" si="68"/>
        <v>-0.4749999949708581</v>
      </c>
      <c r="AK47" s="23">
        <f t="shared" si="68"/>
        <v>-0.47499999683350325</v>
      </c>
      <c r="AL47" s="23">
        <f t="shared" si="68"/>
        <v>-0.47499999776482582</v>
      </c>
      <c r="AM47" s="23">
        <f t="shared" si="68"/>
        <v>-0.4749999949708581</v>
      </c>
      <c r="AN47" s="23">
        <f t="shared" si="68"/>
        <v>-0.47499999590218067</v>
      </c>
      <c r="AO47" s="23">
        <f t="shared" si="68"/>
        <v>-0.47499999590218067</v>
      </c>
      <c r="AP47" s="23">
        <f t="shared" si="68"/>
        <v>-0.47499999683350325</v>
      </c>
    </row>
    <row r="48" spans="1:42" x14ac:dyDescent="0.15">
      <c r="A48" t="s">
        <v>51</v>
      </c>
    </row>
    <row r="49" spans="1:1" x14ac:dyDescent="0.15">
      <c r="A49" t="s">
        <v>51</v>
      </c>
    </row>
    <row r="51" spans="1:1" x14ac:dyDescent="0.15">
      <c r="A51" t="s">
        <v>51</v>
      </c>
    </row>
    <row r="52" spans="1:1" x14ac:dyDescent="0.15">
      <c r="A52" t="s">
        <v>51</v>
      </c>
    </row>
  </sheetData>
  <pageMargins left="0.75" right="0.75" top="1" bottom="1" header="0.5" footer="0.5"/>
  <pageSetup scale="61" orientation="landscape"/>
  <headerFooter alignWithMargins="0"/>
  <colBreaks count="2" manualBreakCount="2">
    <brk id="14" max="44" man="1"/>
    <brk id="28" max="44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Q47"/>
  <sheetViews>
    <sheetView workbookViewId="0">
      <pane xSplit="2" ySplit="7" topLeftCell="C14" activePane="bottomRight" state="frozen"/>
      <selection activeCell="AA48" sqref="AA48"/>
      <selection pane="topRight" activeCell="AA48" sqref="AA48"/>
      <selection pane="bottomLeft" activeCell="AA48" sqref="AA48"/>
      <selection pane="bottomRight" activeCell="A45" sqref="A45"/>
    </sheetView>
  </sheetViews>
  <sheetFormatPr baseColWidth="10" defaultColWidth="8.83203125" defaultRowHeight="13" outlineLevelCol="1" x14ac:dyDescent="0.15"/>
  <cols>
    <col min="1" max="1" width="78.1640625" customWidth="1"/>
    <col min="3" max="3" width="12.5" customWidth="1" outlineLevel="1"/>
    <col min="4" max="4" width="11.6640625" customWidth="1" outlineLevel="1"/>
    <col min="5" max="7" width="11.33203125" customWidth="1" outlineLevel="1"/>
    <col min="8" max="8" width="11.1640625" customWidth="1" outlineLevel="1"/>
    <col min="9" max="14" width="11.33203125" customWidth="1" outlineLevel="1"/>
    <col min="15" max="15" width="11.5" customWidth="1"/>
    <col min="16" max="16" width="2.5" customWidth="1"/>
    <col min="17" max="18" width="11.83203125" customWidth="1" outlineLevel="1"/>
    <col min="19" max="21" width="11.33203125" customWidth="1" outlineLevel="1"/>
    <col min="22" max="22" width="11" customWidth="1" outlineLevel="1"/>
    <col min="23" max="23" width="11.33203125" customWidth="1" outlineLevel="1"/>
    <col min="24" max="28" width="11.1640625" customWidth="1" outlineLevel="1"/>
    <col min="29" max="29" width="11.6640625" customWidth="1"/>
    <col min="30" max="30" width="2.83203125" customWidth="1"/>
    <col min="31" max="31" width="9.5" customWidth="1" outlineLevel="1"/>
    <col min="32" max="35" width="11.1640625" customWidth="1" outlineLevel="1"/>
    <col min="36" max="37" width="11.5" customWidth="1" outlineLevel="1"/>
    <col min="38" max="42" width="11.1640625" customWidth="1" outlineLevel="1"/>
    <col min="43" max="43" width="11.1640625" bestFit="1" customWidth="1"/>
  </cols>
  <sheetData>
    <row r="1" spans="1:43" x14ac:dyDescent="0.15">
      <c r="A1" s="1" t="str">
        <f>+'IS Actual &amp; Forecast'!A1</f>
        <v>ABC Construction Company</v>
      </c>
    </row>
    <row r="2" spans="1:43" ht="20" x14ac:dyDescent="0.2">
      <c r="A2" s="2" t="s">
        <v>173</v>
      </c>
      <c r="H2" s="38" t="s">
        <v>82</v>
      </c>
      <c r="V2" s="38" t="s">
        <v>84</v>
      </c>
      <c r="AJ2" s="38" t="s">
        <v>90</v>
      </c>
    </row>
    <row r="6" spans="1:43" x14ac:dyDescent="0.15"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  <c r="W6" s="47" t="s">
        <v>99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 t="s">
        <v>54</v>
      </c>
      <c r="AD6" s="36"/>
      <c r="AE6" s="47" t="s">
        <v>99</v>
      </c>
      <c r="AF6" s="47" t="s">
        <v>99</v>
      </c>
      <c r="AG6" s="47" t="s">
        <v>99</v>
      </c>
      <c r="AH6" s="47" t="s">
        <v>99</v>
      </c>
      <c r="AI6" s="47" t="s">
        <v>99</v>
      </c>
      <c r="AJ6" s="47" t="s">
        <v>99</v>
      </c>
      <c r="AK6" s="47" t="s">
        <v>99</v>
      </c>
      <c r="AL6" s="47" t="s">
        <v>99</v>
      </c>
      <c r="AM6" s="47" t="s">
        <v>99</v>
      </c>
      <c r="AN6" s="47" t="s">
        <v>99</v>
      </c>
      <c r="AO6" s="47" t="s">
        <v>99</v>
      </c>
      <c r="AP6" s="47" t="s">
        <v>99</v>
      </c>
      <c r="AQ6" s="47" t="s">
        <v>54</v>
      </c>
    </row>
    <row r="7" spans="1:43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94" t="s">
        <v>84</v>
      </c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  <c r="AQ7" s="94" t="s">
        <v>84</v>
      </c>
    </row>
    <row r="8" spans="1:43" x14ac:dyDescent="0.15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</row>
    <row r="9" spans="1:43" x14ac:dyDescent="0.15">
      <c r="A9" s="54" t="s">
        <v>183</v>
      </c>
      <c r="C9" s="31">
        <f>+'IS Actual &amp; Forecast'!C46</f>
        <v>112718.38900000005</v>
      </c>
      <c r="D9" s="31">
        <f>+'IS Actual &amp; Forecast'!D46</f>
        <v>174849.99420000016</v>
      </c>
      <c r="E9" s="31">
        <f>+'IS Actual &amp; Forecast'!E46</f>
        <v>129872.47371085733</v>
      </c>
      <c r="F9" s="31">
        <f>+'IS Actual &amp; Forecast'!F46</f>
        <v>65884.611169058568</v>
      </c>
      <c r="G9" s="31">
        <f>+'IS Actual &amp; Forecast'!G46</f>
        <v>107686.05107013127</v>
      </c>
      <c r="H9" s="31">
        <f>+'IS Actual &amp; Forecast'!H46</f>
        <v>167715.50164606649</v>
      </c>
      <c r="I9" s="31">
        <f>+'IS Actual &amp; Forecast'!I46</f>
        <v>174792.14306393373</v>
      </c>
      <c r="J9" s="31">
        <f>+'IS Actual &amp; Forecast'!J46</f>
        <v>182771.09773868279</v>
      </c>
      <c r="K9" s="31">
        <f>+'IS Actual &amp; Forecast'!K46</f>
        <v>145053.73950084602</v>
      </c>
      <c r="L9" s="31">
        <f>+'IS Actual &amp; Forecast'!L46</f>
        <v>60503.635878823996</v>
      </c>
      <c r="M9" s="31">
        <f>+'IS Actual &amp; Forecast'!M46</f>
        <v>110938.43898937415</v>
      </c>
      <c r="N9" s="31">
        <f>+'IS Actual &amp; Forecast'!N46</f>
        <v>64675.888342249709</v>
      </c>
      <c r="O9" s="31">
        <f>SUM(C9:N9)</f>
        <v>1497461.9643100242</v>
      </c>
      <c r="Q9" s="31">
        <f>+'IS Actual &amp; Forecast'!Q46</f>
        <v>125792.02647521088</v>
      </c>
      <c r="R9" s="31">
        <f>+'IS Actual &amp; Forecast'!R46</f>
        <v>237266.60261000015</v>
      </c>
      <c r="S9" s="31">
        <f>+'IS Actual &amp; Forecast'!S46</f>
        <v>161140.48813239767</v>
      </c>
      <c r="T9" s="31">
        <f>+'IS Actual &amp; Forecast'!T46</f>
        <v>67797.717478498816</v>
      </c>
      <c r="U9" s="31">
        <f>+'IS Actual &amp; Forecast'!U46</f>
        <v>77122.465164527268</v>
      </c>
      <c r="V9" s="31">
        <f>+'IS Actual &amp; Forecast'!V46</f>
        <v>41165.317365626812</v>
      </c>
      <c r="W9" s="31">
        <f>+'IS Actual &amp; Forecast'!W46</f>
        <v>97204.81770344649</v>
      </c>
      <c r="X9" s="31">
        <f>+'IS Actual &amp; Forecast'!X46</f>
        <v>171818.13780016906</v>
      </c>
      <c r="Y9" s="31">
        <f>+'IS Actual &amp; Forecast'!Y46</f>
        <v>227962.06306323354</v>
      </c>
      <c r="Z9" s="31">
        <f>+'IS Actual &amp; Forecast'!Z46</f>
        <v>195551.16125062638</v>
      </c>
      <c r="AA9" s="31">
        <f>+'IS Actual &amp; Forecast'!AA46</f>
        <v>167234.01682226424</v>
      </c>
      <c r="AB9" s="31">
        <f>+'IS Actual &amp; Forecast'!AB46</f>
        <v>117461.4469193916</v>
      </c>
      <c r="AC9" s="31">
        <f>SUM(Q9:AB9)</f>
        <v>1687516.2607853932</v>
      </c>
      <c r="AE9" s="31">
        <f>+'IS Actual &amp; Forecast'!AE46</f>
        <v>252739.75504584351</v>
      </c>
      <c r="AF9" s="31">
        <f>+'IS Actual &amp; Forecast'!AF46</f>
        <v>367474.97207182692</v>
      </c>
      <c r="AG9" s="31">
        <f>+'IS Actual &amp; Forecast'!AG46</f>
        <v>182000.0086267603</v>
      </c>
      <c r="AH9" s="31">
        <f>+'IS Actual &amp; Forecast'!AH46</f>
        <v>104878.61642240657</v>
      </c>
      <c r="AI9" s="31">
        <f>+'IS Actual &amp; Forecast'!AI46</f>
        <v>120177.37566109208</v>
      </c>
      <c r="AJ9" s="31">
        <f>+'IS Actual &amp; Forecast'!AJ46</f>
        <v>132181.38763106024</v>
      </c>
      <c r="AK9" s="31">
        <f>+'IS Actual &amp; Forecast'!AK46</f>
        <v>184154.93487296515</v>
      </c>
      <c r="AL9" s="31">
        <f>+'IS Actual &amp; Forecast'!AL46</f>
        <v>280095.53656407085</v>
      </c>
      <c r="AM9" s="31">
        <f>+'IS Actual &amp; Forecast'!AM46</f>
        <v>281838.02449152718</v>
      </c>
      <c r="AN9" s="31">
        <f>+'IS Actual &amp; Forecast'!AN46</f>
        <v>233716.47057947097</v>
      </c>
      <c r="AO9" s="31">
        <f>+'IS Actual &amp; Forecast'!AO46</f>
        <v>185722.49424774354</v>
      </c>
      <c r="AP9" s="31">
        <f>+'IS Actual &amp; Forecast'!AP46</f>
        <v>104874.28703296333</v>
      </c>
      <c r="AQ9" s="31">
        <f>SUM(AE9:AP9)</f>
        <v>2429853.8632477303</v>
      </c>
    </row>
    <row r="11" spans="1:43" x14ac:dyDescent="0.15">
      <c r="A11" t="s">
        <v>174</v>
      </c>
      <c r="C11" s="23">
        <f>+'IS Actual &amp; Forecast'!C33</f>
        <v>5475</v>
      </c>
      <c r="D11" s="23">
        <f>+'IS Actual &amp; Forecast'!D33</f>
        <v>5475</v>
      </c>
      <c r="E11" s="23">
        <f>+'IS Actual &amp; Forecast'!E33</f>
        <v>5475</v>
      </c>
      <c r="F11" s="23">
        <f>+'IS Actual &amp; Forecast'!F33</f>
        <v>5475</v>
      </c>
      <c r="G11" s="23">
        <f>+'IS Actual &amp; Forecast'!G33</f>
        <v>5475</v>
      </c>
      <c r="H11" s="23">
        <f>+'IS Actual &amp; Forecast'!H33</f>
        <v>5475</v>
      </c>
      <c r="I11" s="23">
        <f>+'IS Actual &amp; Forecast'!I33</f>
        <v>5475</v>
      </c>
      <c r="J11" s="23">
        <f>+'IS Actual &amp; Forecast'!J33</f>
        <v>5475</v>
      </c>
      <c r="K11" s="23">
        <f>+'IS Actual &amp; Forecast'!K33</f>
        <v>5475</v>
      </c>
      <c r="L11" s="23">
        <f>+'IS Actual &amp; Forecast'!L33</f>
        <v>5475</v>
      </c>
      <c r="M11" s="23">
        <f>+'IS Actual &amp; Forecast'!M33</f>
        <v>5475</v>
      </c>
      <c r="N11" s="23">
        <f>+'IS Actual &amp; Forecast'!N33</f>
        <v>10350</v>
      </c>
      <c r="O11" s="23">
        <f>SUM(C11:N11)</f>
        <v>70575</v>
      </c>
      <c r="Q11" s="23">
        <f>+'IS Actual &amp; Forecast'!Q33</f>
        <v>5850</v>
      </c>
      <c r="R11" s="23">
        <f>+'IS Actual &amp; Forecast'!R33</f>
        <v>5850</v>
      </c>
      <c r="S11" s="23">
        <f>+'IS Actual &amp; Forecast'!S33</f>
        <v>5850</v>
      </c>
      <c r="T11" s="23">
        <f>+'IS Actual &amp; Forecast'!T33</f>
        <v>5850</v>
      </c>
      <c r="U11" s="23">
        <f>+'IS Actual &amp; Forecast'!U33</f>
        <v>5850</v>
      </c>
      <c r="V11" s="23">
        <f>+'IS Actual &amp; Forecast'!V33</f>
        <v>5850</v>
      </c>
      <c r="W11" s="23">
        <f>+'IS Actual &amp; Forecast'!W33</f>
        <v>5850</v>
      </c>
      <c r="X11" s="23">
        <f>+'IS Actual &amp; Forecast'!X33</f>
        <v>5850</v>
      </c>
      <c r="Y11" s="23">
        <f>+'IS Actual &amp; Forecast'!Y33</f>
        <v>5850</v>
      </c>
      <c r="Z11" s="23">
        <f>+'IS Actual &amp; Forecast'!Z33</f>
        <v>5850</v>
      </c>
      <c r="AA11" s="23">
        <f>+'IS Actual &amp; Forecast'!AA33</f>
        <v>5850</v>
      </c>
      <c r="AB11" s="23">
        <f>+'IS Actual &amp; Forecast'!AB33</f>
        <v>5850</v>
      </c>
      <c r="AC11" s="23">
        <f>SUM(Q11:AB11)</f>
        <v>70200</v>
      </c>
      <c r="AE11" s="23">
        <f>+'IS Actual &amp; Forecast'!AE33</f>
        <v>6000</v>
      </c>
      <c r="AF11" s="23">
        <f>+'IS Actual &amp; Forecast'!AF33</f>
        <v>6000</v>
      </c>
      <c r="AG11" s="23">
        <f>+'IS Actual &amp; Forecast'!AG33</f>
        <v>6000</v>
      </c>
      <c r="AH11" s="23">
        <f>+'IS Actual &amp; Forecast'!AH33</f>
        <v>6000</v>
      </c>
      <c r="AI11" s="23">
        <f>+'IS Actual &amp; Forecast'!AI33</f>
        <v>6000</v>
      </c>
      <c r="AJ11" s="23">
        <f>+'IS Actual &amp; Forecast'!AJ33</f>
        <v>6000</v>
      </c>
      <c r="AK11" s="23">
        <f>+'IS Actual &amp; Forecast'!AK33</f>
        <v>6000</v>
      </c>
      <c r="AL11" s="23">
        <f>+'IS Actual &amp; Forecast'!AL33</f>
        <v>6000</v>
      </c>
      <c r="AM11" s="23">
        <f>+'IS Actual &amp; Forecast'!AM33</f>
        <v>6000</v>
      </c>
      <c r="AN11" s="23">
        <f>+'IS Actual &amp; Forecast'!AN33</f>
        <v>6000</v>
      </c>
      <c r="AO11" s="23">
        <f>+'IS Actual &amp; Forecast'!AO33</f>
        <v>6000</v>
      </c>
      <c r="AP11" s="23">
        <f>+'IS Actual &amp; Forecast'!AP33</f>
        <v>6000</v>
      </c>
      <c r="AQ11" s="23">
        <f>SUM(AE11:AP11)</f>
        <v>72000</v>
      </c>
    </row>
    <row r="12" spans="1:43" x14ac:dyDescent="0.15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</row>
    <row r="13" spans="1:43" x14ac:dyDescent="0.15">
      <c r="A13" t="s">
        <v>175</v>
      </c>
      <c r="C13" s="23">
        <v>-15679</v>
      </c>
      <c r="D13" s="23">
        <f>+'BS Actual &amp; Forecast'!C11-'BS Actual &amp; Forecast'!D11</f>
        <v>21375.816000000108</v>
      </c>
      <c r="E13" s="23">
        <f>+'BS Actual &amp; Forecast'!D11-'BS Actual &amp; Forecast'!E11</f>
        <v>-43606.66464000009</v>
      </c>
      <c r="F13" s="23">
        <f>+'BS Actual &amp; Forecast'!E11-'BS Actual &amp; Forecast'!F11</f>
        <v>51831.297172800172</v>
      </c>
      <c r="G13" s="23">
        <f>+'BS Actual &amp; Forecast'!F11-'BS Actual &amp; Forecast'!G11</f>
        <v>39743.114152896218</v>
      </c>
      <c r="H13" s="23">
        <f>+'BS Actual &amp; Forecast'!G11-'BS Actual &amp; Forecast'!H11</f>
        <v>-43717.425568185747</v>
      </c>
      <c r="I13" s="23">
        <f>+'BS Actual &amp; Forecast'!H11-'BS Actual &amp; Forecast'!I11</f>
        <v>62297.331434664316</v>
      </c>
      <c r="J13" s="23">
        <f>+'BS Actual &amp; Forecast'!I11-'BS Actual &amp; Forecast'!J11</f>
        <v>-74414.010000000242</v>
      </c>
      <c r="K13" s="23">
        <f>+'BS Actual &amp; Forecast'!J11-'BS Actual &amp; Forecast'!K11</f>
        <v>-42985.158689918462</v>
      </c>
      <c r="L13" s="23">
        <f>+'BS Actual &amp; Forecast'!K11-'BS Actual &amp; Forecast'!L11</f>
        <v>-37826.93964712834</v>
      </c>
      <c r="M13" s="23">
        <f>+'BS Actual &amp; Forecast'!L11-'BS Actual &amp; Forecast'!M11</f>
        <v>53903.38899715757</v>
      </c>
      <c r="N13" s="23">
        <f>+'BS Actual &amp; Forecast'!M11-'BS Actual &amp; Forecast'!N11</f>
        <v>44598.558447015472</v>
      </c>
      <c r="O13" s="35">
        <f t="shared" ref="O13:O19" si="0">SUM(C13:N13)</f>
        <v>15520.307659300976</v>
      </c>
      <c r="Q13" s="23">
        <f>+'BS Actual &amp; Forecast'!N11-'BS Actual &amp; Forecast'!Q11</f>
        <v>64166.251377704553</v>
      </c>
      <c r="R13" s="23">
        <f>+'BS Actual &amp; Forecast'!Q11-'BS Actual &amp; Forecast'!R11</f>
        <v>-76646.430300000124</v>
      </c>
      <c r="S13" s="23">
        <f>+'BS Actual &amp; Forecast'!R11-'BS Actual &amp; Forecast'!S11</f>
        <v>-44274.713450616226</v>
      </c>
      <c r="T13" s="23">
        <f>+'BS Actual &amp; Forecast'!S11-'BS Actual &amp; Forecast'!T11</f>
        <v>-38961.747836542316</v>
      </c>
      <c r="U13" s="23">
        <f>+'BS Actual &amp; Forecast'!T11-'BS Actual &amp; Forecast'!U11</f>
        <v>55520.49066707259</v>
      </c>
      <c r="V13" s="23">
        <f>+'BS Actual &amp; Forecast'!U11-'BS Actual &amp; Forecast'!V11</f>
        <v>245936.82665246399</v>
      </c>
      <c r="W13" s="23">
        <f>+'BS Actual &amp; Forecast'!V11-'BS Actual &amp; Forecast'!W11</f>
        <v>240411.98962096637</v>
      </c>
      <c r="X13" s="23">
        <f>+'BS Actual &amp; Forecast'!W11-'BS Actual &amp; Forecast'!X11</f>
        <v>-637257.43080268707</v>
      </c>
      <c r="Y13" s="23">
        <f>+'BS Actual &amp; Forecast'!X11-'BS Actual &amp; Forecast'!Y11</f>
        <v>-638073.33135348978</v>
      </c>
      <c r="Z13" s="23">
        <f>+'BS Actual &amp; Forecast'!Y11-'BS Actual &amp; Forecast'!Z11</f>
        <v>-911662.85684260633</v>
      </c>
      <c r="AA13" s="23">
        <f>+'BS Actual &amp; Forecast'!Z11-'BS Actual &amp; Forecast'!AA11</f>
        <v>177590.79506302625</v>
      </c>
      <c r="AB13" s="23">
        <f>+'BS Actual &amp; Forecast'!AA11-'BS Actual &amp; Forecast'!AB11</f>
        <v>44602.215731172822</v>
      </c>
      <c r="AC13" s="35">
        <f t="shared" ref="AC13:AC19" si="1">SUM(Q13:AB13)</f>
        <v>-1518647.9414735353</v>
      </c>
      <c r="AE13" s="23">
        <f>+'BS Actual &amp; Forecast'!AB11-'BS Actual &amp; Forecast'!AE11</f>
        <v>-130414.05253420305</v>
      </c>
      <c r="AF13" s="23">
        <f>+'BS Actual &amp; Forecast'!AE11-'BS Actual &amp; Forecast'!AF11</f>
        <v>-1502265.4722760897</v>
      </c>
      <c r="AG13" s="23">
        <f>+'BS Actual &amp; Forecast'!AF11-'BS Actual &amp; Forecast'!AG11</f>
        <v>1106106.6849849559</v>
      </c>
      <c r="AH13" s="23">
        <f>+'BS Actual &amp; Forecast'!AG11-'BS Actual &amp; Forecast'!AH11</f>
        <v>1607675.242613113</v>
      </c>
      <c r="AI13" s="23">
        <f>+'BS Actual &amp; Forecast'!AH11-'BS Actual &amp; Forecast'!AI11</f>
        <v>387732.41733038938</v>
      </c>
      <c r="AJ13" s="23">
        <f>+'BS Actual &amp; Forecast'!AI11-'BS Actual &amp; Forecast'!AJ11</f>
        <v>-144397.69110941328</v>
      </c>
      <c r="AK13" s="23">
        <f>+'BS Actual &amp; Forecast'!AJ11-'BS Actual &amp; Forecast'!AK11</f>
        <v>-301306.14099108055</v>
      </c>
      <c r="AL13" s="23">
        <f>+'BS Actual &amp; Forecast'!AK11-'BS Actual &amp; Forecast'!AL11</f>
        <v>-700554.60482064961</v>
      </c>
      <c r="AM13" s="23">
        <f>+'BS Actual &amp; Forecast'!AL11-'BS Actual &amp; Forecast'!AM11</f>
        <v>-459610.45689564245</v>
      </c>
      <c r="AN13" s="23">
        <f>+'BS Actual &amp; Forecast'!AM11-'BS Actual &amp; Forecast'!AN11</f>
        <v>228660.93461561669</v>
      </c>
      <c r="AO13" s="23">
        <f>+'BS Actual &amp; Forecast'!AN11-'BS Actual &amp; Forecast'!AO11</f>
        <v>466264.87840860616</v>
      </c>
      <c r="AP13" s="23">
        <f>+'BS Actual &amp; Forecast'!AO11-'BS Actual &amp; Forecast'!AP11</f>
        <v>622599.46711072791</v>
      </c>
      <c r="AQ13" s="35">
        <f t="shared" ref="AQ13:AQ19" si="2">SUM(AE13:AP13)</f>
        <v>1180491.2064363305</v>
      </c>
    </row>
    <row r="14" spans="1:43" x14ac:dyDescent="0.15">
      <c r="A14" t="s">
        <v>176</v>
      </c>
      <c r="C14" s="23">
        <v>3425</v>
      </c>
      <c r="D14" s="23">
        <f>+'BS Actual &amp; Forecast'!C12-'BS Actual &amp; Forecast'!D12</f>
        <v>-17912.93380800006</v>
      </c>
      <c r="E14" s="23">
        <f>+'BS Actual &amp; Forecast'!D12-'BS Actual &amp; Forecast'!E12</f>
        <v>37109.271608639974</v>
      </c>
      <c r="F14" s="23">
        <f>+'BS Actual &amp; Forecast'!E12-'BS Actual &amp; Forecast'!F12</f>
        <v>-44678.578162953723</v>
      </c>
      <c r="G14" s="23">
        <f>+'BS Actual &amp; Forecast'!F12-'BS Actual &amp; Forecast'!G12</f>
        <v>-33662.417687502922</v>
      </c>
      <c r="H14" s="23">
        <f>+'BS Actual &amp; Forecast'!G12-'BS Actual &amp; Forecast'!H12</f>
        <v>36810.072328412207</v>
      </c>
      <c r="I14" s="23">
        <f>+'BS Actual &amp; Forecast'!H12-'BS Actual &amp; Forecast'!I12</f>
        <v>-51955.974416510202</v>
      </c>
      <c r="J14" s="23">
        <f>+'BS Actual &amp; Forecast'!I12-'BS Actual &amp; Forecast'!J12</f>
        <v>63623.978550000116</v>
      </c>
      <c r="K14" s="23">
        <f>+'BS Actual &amp; Forecast'!J12-'BS Actual &amp; Forecast'!K12</f>
        <v>36365.444251670968</v>
      </c>
      <c r="L14" s="23">
        <f>+'BS Actual &amp; Forecast'!K12-'BS Actual &amp; Forecast'!L12</f>
        <v>32947.264432648662</v>
      </c>
      <c r="M14" s="23">
        <f>+'BS Actual &amp; Forecast'!L12-'BS Actual &amp; Forecast'!M12</f>
        <v>-45602.267091595568</v>
      </c>
      <c r="N14" s="23">
        <f>+'BS Actual &amp; Forecast'!M12-'BS Actual &amp; Forecast'!N12</f>
        <v>-37507.387653940124</v>
      </c>
      <c r="O14" s="35">
        <f t="shared" si="0"/>
        <v>-21038.527649130672</v>
      </c>
      <c r="Q14" s="23">
        <f>+'BS Actual &amp; Forecast'!N12-'BS Actual &amp; Forecast'!Q12</f>
        <v>-55118.80993344821</v>
      </c>
      <c r="R14" s="23">
        <f>+'BS Actual &amp; Forecast'!Q12-'BS Actual &amp; Forecast'!R12</f>
        <v>64306.35502170003</v>
      </c>
      <c r="S14" s="23">
        <f>+'BS Actual &amp; Forecast'!R12-'BS Actual &amp; Forecast'!S12</f>
        <v>37235.034011968179</v>
      </c>
      <c r="T14" s="23">
        <f>+'BS Actual &amp; Forecast'!S12-'BS Actual &amp; Forecast'!T12</f>
        <v>33974.644113464747</v>
      </c>
      <c r="U14" s="23">
        <f>+'BS Actual &amp; Forecast'!T12-'BS Actual &amp; Forecast'!U12</f>
        <v>-47025.855595010566</v>
      </c>
      <c r="V14" s="23">
        <f>+'BS Actual &amp; Forecast'!U12-'BS Actual &amp; Forecast'!V12</f>
        <v>-39091.974435562734</v>
      </c>
      <c r="W14" s="23">
        <f>+'BS Actual &amp; Forecast'!V12-'BS Actual &amp; Forecast'!W12</f>
        <v>47278.305809570244</v>
      </c>
      <c r="X14" s="23">
        <f>+'BS Actual &amp; Forecast'!W12-'BS Actual &amp; Forecast'!X12</f>
        <v>-37714.286781957082</v>
      </c>
      <c r="Y14" s="23">
        <f>+'BS Actual &amp; Forecast'!X12-'BS Actual &amp; Forecast'!Y12</f>
        <v>-37839.232440730178</v>
      </c>
      <c r="Z14" s="23">
        <f>+'BS Actual &amp; Forecast'!Y12-'BS Actual &amp; Forecast'!Z12</f>
        <v>-16800.64799005611</v>
      </c>
      <c r="AA14" s="23">
        <f>+'BS Actual &amp; Forecast'!Z12-'BS Actual &amp; Forecast'!AA12</f>
        <v>7761.6524326493673</v>
      </c>
      <c r="AB14" s="23">
        <f>+'BS Actual &amp; Forecast'!AA12-'BS Actual &amp; Forecast'!AB12</f>
        <v>23099.462432166183</v>
      </c>
      <c r="AC14" s="35">
        <f t="shared" si="1"/>
        <v>-19935.35335524613</v>
      </c>
      <c r="AE14" s="23">
        <f>+'BS Actual &amp; Forecast'!AB12-'BS Actual &amp; Forecast'!AE12</f>
        <v>69041.409854582045</v>
      </c>
      <c r="AF14" s="23">
        <f>+'BS Actual &amp; Forecast'!AE12-'BS Actual &amp; Forecast'!AF12</f>
        <v>-174085.66143523087</v>
      </c>
      <c r="AG14" s="23">
        <f>+'BS Actual &amp; Forecast'!AF12-'BS Actual &amp; Forecast'!AG12</f>
        <v>29918.907201629481</v>
      </c>
      <c r="AH14" s="23">
        <f>+'BS Actual &amp; Forecast'!AG12-'BS Actual &amp; Forecast'!AH12</f>
        <v>88808.13585799915</v>
      </c>
      <c r="AI14" s="23">
        <f>+'BS Actual &amp; Forecast'!AH12-'BS Actual &amp; Forecast'!AI12</f>
        <v>18474.897085281293</v>
      </c>
      <c r="AJ14" s="23">
        <f>+'BS Actual &amp; Forecast'!AI12-'BS Actual &amp; Forecast'!AJ12</f>
        <v>-8563.1188913721417</v>
      </c>
      <c r="AK14" s="23">
        <f>+'BS Actual &amp; Forecast'!AJ12-'BS Actual &amp; Forecast'!AK12</f>
        <v>-17868.154872726882</v>
      </c>
      <c r="AL14" s="23">
        <f>+'BS Actual &amp; Forecast'!AK12-'BS Actual &amp; Forecast'!AL12</f>
        <v>-41544.517262619978</v>
      </c>
      <c r="AM14" s="23">
        <f>+'BS Actual &amp; Forecast'!AL12-'BS Actual &amp; Forecast'!AM12</f>
        <v>-27255.968955439166</v>
      </c>
      <c r="AN14" s="23">
        <f>+'BS Actual &amp; Forecast'!AM12-'BS Actual &amp; Forecast'!AN12</f>
        <v>13560.125192321371</v>
      </c>
      <c r="AO14" s="23">
        <f>+'BS Actual &amp; Forecast'!AN12-'BS Actual &amp; Forecast'!AO12</f>
        <v>27650.591626556939</v>
      </c>
      <c r="AP14" s="23">
        <f>+'BS Actual &amp; Forecast'!AO12-'BS Actual &amp; Forecast'!AP12</f>
        <v>36921.596305403596</v>
      </c>
      <c r="AQ14" s="35">
        <f t="shared" si="2"/>
        <v>15058.241706384841</v>
      </c>
    </row>
    <row r="15" spans="1:43" x14ac:dyDescent="0.15">
      <c r="A15" t="s">
        <v>185</v>
      </c>
      <c r="C15" s="23">
        <v>-11745</v>
      </c>
      <c r="D15" s="23">
        <f>+'BS Actual &amp; Forecast'!C13-'BS Actual &amp; Forecast'!D13</f>
        <v>76326.744500000001</v>
      </c>
      <c r="E15" s="23">
        <f>+'BS Actual &amp; Forecast'!D13-'BS Actual &amp; Forecast'!E13</f>
        <v>-29621.792204999976</v>
      </c>
      <c r="F15" s="23">
        <f>+'BS Actual &amp; Forecast'!E13-'BS Actual &amp; Forecast'!F13</f>
        <v>-86255.425332999992</v>
      </c>
      <c r="G15" s="23">
        <f>+'BS Actual &amp; Forecast'!F13-'BS Actual &amp; Forecast'!G13</f>
        <v>55113.856186799996</v>
      </c>
      <c r="H15" s="23">
        <f>+'BS Actual &amp; Forecast'!G13-'BS Actual &amp; Forecast'!H13</f>
        <v>-43190.443884924025</v>
      </c>
      <c r="I15" s="23">
        <f>+'BS Actual &amp; Forecast'!H13-'BS Actual &amp; Forecast'!I13</f>
        <v>17445.551843714376</v>
      </c>
      <c r="J15" s="23">
        <f>+'BS Actual &amp; Forecast'!I13-'BS Actual &amp; Forecast'!J13</f>
        <v>56953.496215497609</v>
      </c>
      <c r="K15" s="23">
        <f>+'BS Actual &amp; Forecast'!J13-'BS Actual &amp; Forecast'!K13</f>
        <v>19483.441521229426</v>
      </c>
      <c r="L15" s="23">
        <f>+'BS Actual &amp; Forecast'!K13-'BS Actual &amp; Forecast'!L13</f>
        <v>-73517.519340105762</v>
      </c>
      <c r="M15" s="23">
        <f>+'BS Actual &amp; Forecast'!L13-'BS Actual &amp; Forecast'!M13</f>
        <v>-636.45908969349694</v>
      </c>
      <c r="N15" s="23">
        <f>+'BS Actual &amp; Forecast'!M13-'BS Actual &amp; Forecast'!N13</f>
        <v>-28144.22094624638</v>
      </c>
      <c r="O15" s="35">
        <f t="shared" si="0"/>
        <v>-47787.770531728223</v>
      </c>
      <c r="Q15" s="23">
        <f>+'BS Actual &amp; Forecast'!N13-'BS Actual &amp; Forecast'!Q13</f>
        <v>37209.180468932871</v>
      </c>
      <c r="R15" s="23">
        <f>+'BS Actual &amp; Forecast'!Q13-'BS Actual &amp; Forecast'!R13</f>
        <v>-110668.46756913044</v>
      </c>
      <c r="S15" s="23">
        <f>+'BS Actual &amp; Forecast'!R13-'BS Actual &amp; Forecast'!S13</f>
        <v>-17974.341712570167</v>
      </c>
      <c r="T15" s="23">
        <f>+'BS Actual &amp; Forecast'!S13-'BS Actual &amp; Forecast'!T13</f>
        <v>81123.106242023525</v>
      </c>
      <c r="U15" s="23">
        <f>+'BS Actual &amp; Forecast'!T13-'BS Actual &amp; Forecast'!U13</f>
        <v>5109.745862049429</v>
      </c>
      <c r="V15" s="23">
        <f>+'BS Actual &amp; Forecast'!U13-'BS Actual &amp; Forecast'!V13</f>
        <v>26934.554324348544</v>
      </c>
      <c r="W15" s="23">
        <f>+'BS Actual &amp; Forecast'!V13-'BS Actual &amp; Forecast'!W13</f>
        <v>25014.01820661049</v>
      </c>
      <c r="X15" s="23">
        <f>+'BS Actual &amp; Forecast'!W13-'BS Actual &amp; Forecast'!X13</f>
        <v>-51217.713508234592</v>
      </c>
      <c r="Y15" s="23">
        <f>+'BS Actual &amp; Forecast'!X13-'BS Actual &amp; Forecast'!Y13</f>
        <v>-51283.2891432014</v>
      </c>
      <c r="Z15" s="23">
        <f>+'BS Actual &amp; Forecast'!Y13-'BS Actual &amp; Forecast'!Z13</f>
        <v>-20883.939834434947</v>
      </c>
      <c r="AA15" s="23">
        <f>+'BS Actual &amp; Forecast'!Z13-'BS Actual &amp; Forecast'!AA13</f>
        <v>12275.075754756341</v>
      </c>
      <c r="AB15" s="23">
        <f>+'BS Actual &amp; Forecast'!AA13-'BS Actual &amp; Forecast'!AB13</f>
        <v>30942.535723087785</v>
      </c>
      <c r="AC15" s="35">
        <f t="shared" si="1"/>
        <v>-33419.535185762565</v>
      </c>
      <c r="AE15" s="23">
        <f>+'BS Actual &amp; Forecast'!AB13-'BS Actual &amp; Forecast'!AE13</f>
        <v>-36873.84988291323</v>
      </c>
      <c r="AF15" s="23">
        <f>+'BS Actual &amp; Forecast'!AE13-'BS Actual &amp; Forecast'!AF13</f>
        <v>-103836.58944372332</v>
      </c>
      <c r="AG15" s="23">
        <f>+'BS Actual &amp; Forecast'!AF13-'BS Actual &amp; Forecast'!AG13</f>
        <v>38359.355068608304</v>
      </c>
      <c r="AH15" s="23">
        <f>+'BS Actual &amp; Forecast'!AG13-'BS Actual &amp; Forecast'!AH13</f>
        <v>117617.68746580451</v>
      </c>
      <c r="AI15" s="23">
        <f>+'BS Actual &amp; Forecast'!AH13-'BS Actual &amp; Forecast'!AI13</f>
        <v>25038.919343816582</v>
      </c>
      <c r="AJ15" s="23">
        <f>+'BS Actual &amp; Forecast'!AI13-'BS Actual &amp; Forecast'!AJ13</f>
        <v>-11605.544662189175</v>
      </c>
      <c r="AK15" s="23">
        <f>+'BS Actual &amp; Forecast'!AJ13-'BS Actual &amp; Forecast'!AK13</f>
        <v>-24216.60519221329</v>
      </c>
      <c r="AL15" s="23">
        <f>+'BS Actual &amp; Forecast'!AK13-'BS Actual &amp; Forecast'!AL13</f>
        <v>-56305.039866515552</v>
      </c>
      <c r="AM15" s="23">
        <f>+'BS Actual &amp; Forecast'!AL13-'BS Actual &amp; Forecast'!AM13</f>
        <v>-36939.85439607763</v>
      </c>
      <c r="AN15" s="23">
        <f>+'BS Actual &amp; Forecast'!AM13-'BS Actual &amp; Forecast'!AN13</f>
        <v>18377.957907710865</v>
      </c>
      <c r="AO15" s="23">
        <f>+'BS Actual &amp; Forecast'!AN13-'BS Actual &amp; Forecast'!AO13</f>
        <v>37474.684180933633</v>
      </c>
      <c r="AP15" s="23">
        <f>+'BS Actual &amp; Forecast'!AO13-'BS Actual &amp; Forecast'!AP13</f>
        <v>50039.622286852915</v>
      </c>
      <c r="AQ15" s="35">
        <f t="shared" si="2"/>
        <v>17130.742810094613</v>
      </c>
    </row>
    <row r="16" spans="1:43" x14ac:dyDescent="0.15">
      <c r="A16" t="s">
        <v>184</v>
      </c>
      <c r="C16" s="23">
        <v>1250</v>
      </c>
      <c r="D16" s="23">
        <f>+'BS Actual &amp; Forecast'!C14-'BS Actual &amp; Forecast'!D14</f>
        <v>-1000</v>
      </c>
      <c r="E16" s="23">
        <f>+'BS Actual &amp; Forecast'!D14-'BS Actual &amp; Forecast'!E14</f>
        <v>0</v>
      </c>
      <c r="F16" s="23">
        <f>+'BS Actual &amp; Forecast'!E14-'BS Actual &amp; Forecast'!F14</f>
        <v>0</v>
      </c>
      <c r="G16" s="23">
        <f>+'BS Actual &amp; Forecast'!F14-'BS Actual &amp; Forecast'!G14</f>
        <v>0</v>
      </c>
      <c r="H16" s="23">
        <f>+'BS Actual &amp; Forecast'!G14-'BS Actual &amp; Forecast'!H14</f>
        <v>0</v>
      </c>
      <c r="I16" s="23">
        <f>+'BS Actual &amp; Forecast'!H14-'BS Actual &amp; Forecast'!I14</f>
        <v>0</v>
      </c>
      <c r="J16" s="23">
        <f>+'BS Actual &amp; Forecast'!I14-'BS Actual &amp; Forecast'!J14</f>
        <v>2500</v>
      </c>
      <c r="K16" s="23">
        <f>+'BS Actual &amp; Forecast'!J14-'BS Actual &amp; Forecast'!K14</f>
        <v>0</v>
      </c>
      <c r="L16" s="23">
        <f>+'BS Actual &amp; Forecast'!K14-'BS Actual &amp; Forecast'!L14</f>
        <v>0</v>
      </c>
      <c r="M16" s="23">
        <f>+'BS Actual &amp; Forecast'!L14-'BS Actual &amp; Forecast'!M14</f>
        <v>0</v>
      </c>
      <c r="N16" s="23">
        <f>+'BS Actual &amp; Forecast'!M14-'BS Actual &amp; Forecast'!N14</f>
        <v>0</v>
      </c>
      <c r="O16" s="35">
        <f t="shared" si="0"/>
        <v>2750</v>
      </c>
      <c r="Q16" s="23">
        <f>+'BS Actual &amp; Forecast'!N14-'BS Actual &amp; Forecast'!Q14</f>
        <v>0</v>
      </c>
      <c r="R16" s="23">
        <f>+'BS Actual &amp; Forecast'!Q14-'BS Actual &amp; Forecast'!R14</f>
        <v>0</v>
      </c>
      <c r="S16" s="23">
        <f>+'BS Actual &amp; Forecast'!R14-'BS Actual &amp; Forecast'!S14</f>
        <v>0</v>
      </c>
      <c r="T16" s="23">
        <f>+'BS Actual &amp; Forecast'!S14-'BS Actual &amp; Forecast'!T14</f>
        <v>0</v>
      </c>
      <c r="U16" s="23">
        <f>+'BS Actual &amp; Forecast'!T14-'BS Actual &amp; Forecast'!U14</f>
        <v>0</v>
      </c>
      <c r="V16" s="23">
        <f>+'BS Actual &amp; Forecast'!U14-'BS Actual &amp; Forecast'!V14</f>
        <v>0</v>
      </c>
      <c r="W16" s="23">
        <f>+'BS Actual &amp; Forecast'!V14-'BS Actual &amp; Forecast'!W14</f>
        <v>0</v>
      </c>
      <c r="X16" s="23">
        <f>+'BS Actual &amp; Forecast'!W14-'BS Actual &amp; Forecast'!X14</f>
        <v>0</v>
      </c>
      <c r="Y16" s="23">
        <f>+'BS Actual &amp; Forecast'!X14-'BS Actual &amp; Forecast'!Y14</f>
        <v>0</v>
      </c>
      <c r="Z16" s="23">
        <f>+'BS Actual &amp; Forecast'!Y14-'BS Actual &amp; Forecast'!Z14</f>
        <v>0</v>
      </c>
      <c r="AA16" s="23">
        <f>+'BS Actual &amp; Forecast'!Z14-'BS Actual &amp; Forecast'!AA14</f>
        <v>0</v>
      </c>
      <c r="AB16" s="23">
        <f>+'BS Actual &amp; Forecast'!AA14-'BS Actual &amp; Forecast'!AB14</f>
        <v>0</v>
      </c>
      <c r="AC16" s="35">
        <f t="shared" si="1"/>
        <v>0</v>
      </c>
      <c r="AE16" s="23">
        <f>+'BS Actual &amp; Forecast'!AB14-'BS Actual &amp; Forecast'!AE14</f>
        <v>0</v>
      </c>
      <c r="AF16" s="23">
        <f>+'BS Actual &amp; Forecast'!AE14-'BS Actual &amp; Forecast'!AF14</f>
        <v>0</v>
      </c>
      <c r="AG16" s="23">
        <f>+'BS Actual &amp; Forecast'!AF14-'BS Actual &amp; Forecast'!AG14</f>
        <v>0</v>
      </c>
      <c r="AH16" s="23">
        <f>+'BS Actual &amp; Forecast'!AG14-'BS Actual &amp; Forecast'!AH14</f>
        <v>0</v>
      </c>
      <c r="AI16" s="23">
        <f>+'BS Actual &amp; Forecast'!AH14-'BS Actual &amp; Forecast'!AI14</f>
        <v>0</v>
      </c>
      <c r="AJ16" s="23">
        <f>+'BS Actual &amp; Forecast'!AI14-'BS Actual &amp; Forecast'!AJ14</f>
        <v>0</v>
      </c>
      <c r="AK16" s="23">
        <f>+'BS Actual &amp; Forecast'!AJ14-'BS Actual &amp; Forecast'!AK14</f>
        <v>0</v>
      </c>
      <c r="AL16" s="23">
        <f>+'BS Actual &amp; Forecast'!AK14-'BS Actual &amp; Forecast'!AL14</f>
        <v>0</v>
      </c>
      <c r="AM16" s="23">
        <f>+'BS Actual &amp; Forecast'!AL14-'BS Actual &amp; Forecast'!AM14</f>
        <v>0</v>
      </c>
      <c r="AN16" s="23">
        <f>+'BS Actual &amp; Forecast'!AM14-'BS Actual &amp; Forecast'!AN14</f>
        <v>0</v>
      </c>
      <c r="AO16" s="23">
        <f>+'BS Actual &amp; Forecast'!AN14-'BS Actual &amp; Forecast'!AO14</f>
        <v>0</v>
      </c>
      <c r="AP16" s="23">
        <f>+'BS Actual &amp; Forecast'!AO14-'BS Actual &amp; Forecast'!AP14</f>
        <v>0</v>
      </c>
      <c r="AQ16" s="35">
        <f t="shared" si="2"/>
        <v>0</v>
      </c>
    </row>
    <row r="17" spans="1:43" x14ac:dyDescent="0.15">
      <c r="A17" t="s">
        <v>186</v>
      </c>
      <c r="C17" s="23">
        <v>-18902</v>
      </c>
      <c r="D17" s="23">
        <f>+'BS Actual &amp; Forecast'!D31-'BS Actual &amp; Forecast'!C31</f>
        <v>129477.56565420562</v>
      </c>
      <c r="E17" s="23">
        <f>+'BS Actual &amp; Forecast'!E31-'BS Actual &amp; Forecast'!D31</f>
        <v>64978.847614486236</v>
      </c>
      <c r="F17" s="23">
        <f>+'BS Actual &amp; Forecast'!F31-'BS Actual &amp; Forecast'!E31</f>
        <v>-370792.07037153607</v>
      </c>
      <c r="G17" s="23">
        <f>+'BS Actual &amp; Forecast'!G31-'BS Actual &amp; Forecast'!F31</f>
        <v>196277.57846143865</v>
      </c>
      <c r="H17" s="23">
        <f>+'BS Actual &amp; Forecast'!H31-'BS Actual &amp; Forecast'!G31</f>
        <v>159366.00823093345</v>
      </c>
      <c r="I17" s="23">
        <f>+'BS Actual &amp; Forecast'!I31-'BS Actual &amp; Forecast'!H31</f>
        <v>-110006.81401496404</v>
      </c>
      <c r="J17" s="23">
        <f>+'BS Actual &amp; Forecast'!J31-'BS Actual &amp; Forecast'!I31</f>
        <v>393834.65996322362</v>
      </c>
      <c r="K17" s="23">
        <f>+'BS Actual &amp; Forecast'!K31-'BS Actual &amp; Forecast'!J31</f>
        <v>-306339.40131926979</v>
      </c>
      <c r="L17" s="23">
        <f>+'BS Actual &amp; Forecast'!L31-'BS Actual &amp; Forecast'!K31</f>
        <v>-173062.719808341</v>
      </c>
      <c r="M17" s="23">
        <f>+'BS Actual &amp; Forecast'!M31-'BS Actual &amp; Forecast'!L31</f>
        <v>-128891.68156349612</v>
      </c>
      <c r="N17" s="23">
        <f>+'BS Actual &amp; Forecast'!N31-'BS Actual &amp; Forecast'!M31</f>
        <v>-273229.59902129997</v>
      </c>
      <c r="O17" s="35">
        <f t="shared" si="0"/>
        <v>-437289.62617461942</v>
      </c>
      <c r="Q17" s="23">
        <f>+'BS Actual &amp; Forecast'!Q31-'BS Actual &amp; Forecast'!N31</f>
        <v>75437</v>
      </c>
      <c r="R17" s="23">
        <f>+'BS Actual &amp; Forecast'!R31-'BS Actual &amp; Forecast'!Q31</f>
        <v>268998</v>
      </c>
      <c r="S17" s="23">
        <f>+'BS Actual &amp; Forecast'!S31-'BS Actual &amp; Forecast'!R31</f>
        <v>167333</v>
      </c>
      <c r="T17" s="23">
        <f>+'BS Actual &amp; Forecast'!T31-'BS Actual &amp; Forecast'!S31</f>
        <v>-155665.79867836041</v>
      </c>
      <c r="U17" s="23">
        <f>+'BS Actual &amp; Forecast'!U31-'BS Actual &amp; Forecast'!T31</f>
        <v>-125285.17865384417</v>
      </c>
      <c r="V17" s="23">
        <f>+'BS Actual &amp; Forecast'!V31-'BS Actual &amp; Forecast'!U31</f>
        <v>-252532.97627001954</v>
      </c>
      <c r="W17" s="23">
        <f>+'BS Actual &amp; Forecast'!W31-'BS Actual &amp; Forecast'!V31</f>
        <v>27713.023662588559</v>
      </c>
      <c r="X17" s="23">
        <f>+'BS Actual &amp; Forecast'!X31-'BS Actual &amp; Forecast'!W31</f>
        <v>315122.61806957284</v>
      </c>
      <c r="Y17" s="23">
        <f>+'BS Actual &amp; Forecast'!Y31-'BS Actual &amp; Forecast'!X31</f>
        <v>315543.471339104</v>
      </c>
      <c r="Z17" s="23">
        <f>+'BS Actual &amp; Forecast'!Z31-'BS Actual &amp; Forecast'!Y31</f>
        <v>140224.09959348384</v>
      </c>
      <c r="AA17" s="23">
        <f>+'BS Actual &amp; Forecast'!AA31-'BS Actual &amp; Forecast'!Z31</f>
        <v>-64459.550265631871</v>
      </c>
      <c r="AB17" s="23">
        <f>+'BS Actual &amp; Forecast'!AB31-'BS Actual &amp; Forecast'!AA31</f>
        <v>-192272.42472820706</v>
      </c>
      <c r="AC17" s="35">
        <f t="shared" si="1"/>
        <v>520155.28406868619</v>
      </c>
      <c r="AE17" s="23">
        <f>+'BS Actual &amp; Forecast'!AE31-'BS Actual &amp; Forecast'!AB31</f>
        <v>-601177.48872911022</v>
      </c>
      <c r="AF17" s="23">
        <f>+'BS Actual &amp; Forecast'!AF31-'BS Actual &amp; Forecast'!AE31</f>
        <v>1477777.628014944</v>
      </c>
      <c r="AG17" s="23">
        <f>+'BS Actual &amp; Forecast'!AG31-'BS Actual &amp; Forecast'!AF31</f>
        <v>-247946.3662823285</v>
      </c>
      <c r="AH17" s="23">
        <f>+'BS Actual &amp; Forecast'!AH31-'BS Actual &amp; Forecast'!AG31</f>
        <v>-741344.74378181319</v>
      </c>
      <c r="AI17" s="23">
        <f>+'BS Actual &amp; Forecast'!AI31-'BS Actual &amp; Forecast'!AH31</f>
        <v>-155304.51161020016</v>
      </c>
      <c r="AJ17" s="23">
        <f>+'BS Actual &amp; Forecast'!AJ31-'BS Actual &amp; Forecast'!AI31</f>
        <v>72638.491323572583</v>
      </c>
      <c r="AK17" s="23">
        <f>+'BS Actual &amp; Forecast'!AK31-'BS Actual &amp; Forecast'!AJ31</f>
        <v>148972.92781835538</v>
      </c>
      <c r="AL17" s="23">
        <f>+'BS Actual &amp; Forecast'!AL31-'BS Actual &amp; Forecast'!AK31</f>
        <v>346510.30387712712</v>
      </c>
      <c r="AM17" s="23">
        <f>+'BS Actual &amp; Forecast'!AM31-'BS Actual &amp; Forecast'!AL31</f>
        <v>227356.10499167047</v>
      </c>
      <c r="AN17" s="23">
        <f>+'BS Actual &amp; Forecast'!AN31-'BS Actual &amp; Forecast'!AM31</f>
        <v>-112775.78260270506</v>
      </c>
      <c r="AO17" s="23">
        <f>+'BS Actual &amp; Forecast'!AO31-'BS Actual &amp; Forecast'!AN31</f>
        <v>-230194.08361466788</v>
      </c>
      <c r="AP17" s="23">
        <f>+'BS Actual &amp; Forecast'!AP31-'BS Actual &amp; Forecast'!AO31</f>
        <v>-307450.18080565729</v>
      </c>
      <c r="AQ17" s="35">
        <f t="shared" si="2"/>
        <v>-122937.70140081272</v>
      </c>
    </row>
    <row r="18" spans="1:43" x14ac:dyDescent="0.15">
      <c r="A18" t="s">
        <v>187</v>
      </c>
      <c r="C18" s="23">
        <v>-10000</v>
      </c>
      <c r="D18" s="23">
        <f>+'BS Actual &amp; Forecast'!D32-'BS Actual &amp; Forecast'!C32</f>
        <v>-10000</v>
      </c>
      <c r="E18" s="23">
        <f>+'BS Actual &amp; Forecast'!E32-'BS Actual &amp; Forecast'!D32</f>
        <v>-10000</v>
      </c>
      <c r="F18" s="23">
        <f>+'BS Actual &amp; Forecast'!F32-'BS Actual &amp; Forecast'!E32</f>
        <v>-10000</v>
      </c>
      <c r="G18" s="23">
        <f>+'BS Actual &amp; Forecast'!G32-'BS Actual &amp; Forecast'!F32</f>
        <v>-10000</v>
      </c>
      <c r="H18" s="23">
        <f>+'BS Actual &amp; Forecast'!H32-'BS Actual &amp; Forecast'!G32</f>
        <v>-10000</v>
      </c>
      <c r="I18" s="23">
        <f>+'BS Actual &amp; Forecast'!I32-'BS Actual &amp; Forecast'!H32</f>
        <v>-10000</v>
      </c>
      <c r="J18" s="23">
        <f>+'BS Actual &amp; Forecast'!J32-'BS Actual &amp; Forecast'!I32</f>
        <v>-10000</v>
      </c>
      <c r="K18" s="23">
        <f>+'BS Actual &amp; Forecast'!K32-'BS Actual &amp; Forecast'!J32</f>
        <v>-10000</v>
      </c>
      <c r="L18" s="23">
        <f>+'BS Actual &amp; Forecast'!L32-'BS Actual &amp; Forecast'!K32</f>
        <v>-10000</v>
      </c>
      <c r="M18" s="23">
        <f>+'BS Actual &amp; Forecast'!M32-'BS Actual &amp; Forecast'!L32</f>
        <v>-10000</v>
      </c>
      <c r="N18" s="23">
        <f>+'BS Actual &amp; Forecast'!N32-'BS Actual &amp; Forecast'!M32</f>
        <v>-10000</v>
      </c>
      <c r="O18" s="35">
        <f t="shared" si="0"/>
        <v>-120000</v>
      </c>
      <c r="Q18" s="23">
        <f>+'BS Actual &amp; Forecast'!Q32-'BS Actual &amp; Forecast'!N32</f>
        <v>-10000</v>
      </c>
      <c r="R18" s="23">
        <f>+'BS Actual &amp; Forecast'!R32-'BS Actual &amp; Forecast'!Q32</f>
        <v>-10000</v>
      </c>
      <c r="S18" s="23">
        <f>+'BS Actual &amp; Forecast'!S32-'BS Actual &amp; Forecast'!R32</f>
        <v>-10000</v>
      </c>
      <c r="T18" s="23">
        <f>+'BS Actual &amp; Forecast'!T32-'BS Actual &amp; Forecast'!S32</f>
        <v>-10000</v>
      </c>
      <c r="U18" s="23">
        <f>+'BS Actual &amp; Forecast'!U32-'BS Actual &amp; Forecast'!T32</f>
        <v>-10000</v>
      </c>
      <c r="V18" s="23">
        <f>+'BS Actual &amp; Forecast'!V32-'BS Actual &amp; Forecast'!U32</f>
        <v>-10000</v>
      </c>
      <c r="W18" s="23">
        <f>+'BS Actual &amp; Forecast'!W32-'BS Actual &amp; Forecast'!V32</f>
        <v>-10000</v>
      </c>
      <c r="X18" s="23">
        <f>+'BS Actual &amp; Forecast'!X32-'BS Actual &amp; Forecast'!W32</f>
        <v>-10000</v>
      </c>
      <c r="Y18" s="23">
        <f>+'BS Actual &amp; Forecast'!Y32-'BS Actual &amp; Forecast'!X32</f>
        <v>-10000</v>
      </c>
      <c r="Z18" s="23">
        <f>+'BS Actual &amp; Forecast'!Z32-'BS Actual &amp; Forecast'!Y32</f>
        <v>-10000</v>
      </c>
      <c r="AA18" s="23">
        <f>+'BS Actual &amp; Forecast'!AA32-'BS Actual &amp; Forecast'!Z32</f>
        <v>-10000</v>
      </c>
      <c r="AB18" s="23">
        <f>+'BS Actual &amp; Forecast'!AB32-'BS Actual &amp; Forecast'!AA32</f>
        <v>-10000</v>
      </c>
      <c r="AC18" s="35">
        <f t="shared" si="1"/>
        <v>-120000</v>
      </c>
      <c r="AE18" s="23">
        <f>+'BS Actual &amp; Forecast'!AE32-'BS Actual &amp; Forecast'!AB32</f>
        <v>-10000</v>
      </c>
      <c r="AF18" s="23">
        <f>+'BS Actual &amp; Forecast'!AF32-'BS Actual &amp; Forecast'!AE32</f>
        <v>-10000</v>
      </c>
      <c r="AG18" s="23">
        <f>+'BS Actual &amp; Forecast'!AG32-'BS Actual &amp; Forecast'!AF32</f>
        <v>-10000</v>
      </c>
      <c r="AH18" s="23">
        <f>+'BS Actual &amp; Forecast'!AH32-'BS Actual &amp; Forecast'!AG32</f>
        <v>-10000</v>
      </c>
      <c r="AI18" s="23">
        <f>+'BS Actual &amp; Forecast'!AI32-'BS Actual &amp; Forecast'!AH32</f>
        <v>-10000</v>
      </c>
      <c r="AJ18" s="23">
        <f>+'BS Actual &amp; Forecast'!AJ32-'BS Actual &amp; Forecast'!AI32</f>
        <v>-10000</v>
      </c>
      <c r="AK18" s="23">
        <f>+'BS Actual &amp; Forecast'!AK32-'BS Actual &amp; Forecast'!AJ32</f>
        <v>-31375</v>
      </c>
      <c r="AL18" s="23">
        <f>+'BS Actual &amp; Forecast'!AL32-'BS Actual &amp; Forecast'!AK32</f>
        <v>-31375</v>
      </c>
      <c r="AM18" s="23">
        <f>+'BS Actual &amp; Forecast'!AM32-'BS Actual &amp; Forecast'!AL32</f>
        <v>-31375</v>
      </c>
      <c r="AN18" s="23">
        <f>+'BS Actual &amp; Forecast'!AN32-'BS Actual &amp; Forecast'!AM32</f>
        <v>-31375</v>
      </c>
      <c r="AO18" s="23">
        <f>+'BS Actual &amp; Forecast'!AO32-'BS Actual &amp; Forecast'!AN32</f>
        <v>-31375</v>
      </c>
      <c r="AP18" s="23">
        <f>+'BS Actual &amp; Forecast'!AP32-'BS Actual &amp; Forecast'!AO32</f>
        <v>-31375</v>
      </c>
      <c r="AQ18" s="35">
        <f t="shared" si="2"/>
        <v>-248250</v>
      </c>
    </row>
    <row r="19" spans="1:43" x14ac:dyDescent="0.15">
      <c r="A19" t="s">
        <v>188</v>
      </c>
      <c r="C19" s="24">
        <v>35024</v>
      </c>
      <c r="D19" s="24">
        <f>+'BS Actual &amp; Forecast'!D33-'BS Actual &amp; Forecast'!C33</f>
        <v>-101898.15000000002</v>
      </c>
      <c r="E19" s="24">
        <f>+'BS Actual &amp; Forecast'!E33-'BS Actual &amp; Forecast'!D33</f>
        <v>-17322.685500000021</v>
      </c>
      <c r="F19" s="24">
        <f>+'BS Actual &amp; Forecast'!F33-'BS Actual &amp; Forecast'!E33</f>
        <v>112020.03289999999</v>
      </c>
      <c r="G19" s="24">
        <f>+'BS Actual &amp; Forecast'!G33-'BS Actual &amp; Forecast'!F33</f>
        <v>-67212.019740000018</v>
      </c>
      <c r="H19" s="24">
        <f>+'BS Actual &amp; Forecast'!H33-'BS Actual &amp; Forecast'!G33</f>
        <v>18147.245329800062</v>
      </c>
      <c r="I19" s="24">
        <f>+'BS Actual &amp; Forecast'!I33-'BS Actual &amp; Forecast'!H33</f>
        <v>62305.542298980057</v>
      </c>
      <c r="J19" s="24">
        <f>+'BS Actual &amp; Forecast'!J33-'BS Actual &amp; Forecast'!I33</f>
        <v>20560.828958663391</v>
      </c>
      <c r="K19" s="24">
        <f>+'BS Actual &amp; Forecast'!K33-'BS Actual &amp; Forecast'!J33</f>
        <v>-56473.743539795396</v>
      </c>
      <c r="L19" s="24">
        <f>+'BS Actual &amp; Forecast'!L33-'BS Actual &amp; Forecast'!K33</f>
        <v>-12988.96101415297</v>
      </c>
      <c r="M19" s="24">
        <f>+'BS Actual &amp; Forecast'!M33-'BS Actual &amp; Forecast'!L33</f>
        <v>63645.908969349577</v>
      </c>
      <c r="N19" s="24">
        <f>+'BS Actual &amp; Forecast'!N33-'BS Actual &amp; Forecast'!M33</f>
        <v>21003.149959885399</v>
      </c>
      <c r="O19" s="24">
        <f t="shared" si="0"/>
        <v>76811.148622730048</v>
      </c>
      <c r="Q19" s="24">
        <f>+'BS Actual &amp; Forecast'!Q33-'BS Actual &amp; Forecast'!N33</f>
        <v>21633.244458681904</v>
      </c>
      <c r="R19" s="24">
        <f>+'BS Actual &amp; Forecast'!R33-'BS Actual &amp; Forecast'!Q33</f>
        <v>74274.139308141312</v>
      </c>
      <c r="S19" s="24">
        <f>+'BS Actual &amp; Forecast'!S33-'BS Actual &amp; Forecast'!R33</f>
        <v>24510.465971686644</v>
      </c>
      <c r="T19" s="24">
        <f>+'BS Actual &amp; Forecast'!T33-'BS Actual &amp; Forecast'!S33</f>
        <v>-67322.079868899193</v>
      </c>
      <c r="U19" s="24">
        <f>+'BS Actual &amp; Forecast'!U33-'BS Actual &amp; Forecast'!T33</f>
        <v>-15484.0783698468</v>
      </c>
      <c r="V19" s="24">
        <f>+'BS Actual &amp; Forecast'!V33-'BS Actual &amp; Forecast'!U33</f>
        <v>-37935.992006124696</v>
      </c>
      <c r="W19" s="24">
        <f>+'BS Actual &amp; Forecast'!W33-'BS Actual &amp; Forecast'!V33</f>
        <v>-100693.30214929429</v>
      </c>
      <c r="X19" s="24">
        <f>+'BS Actual &amp; Forecast'!X33-'BS Actual &amp; Forecast'!W33</f>
        <v>160055.35471323307</v>
      </c>
      <c r="Y19" s="24">
        <f>+'BS Actual &amp; Forecast'!Y33-'BS Actual &amp; Forecast'!X33</f>
        <v>160260.27857250429</v>
      </c>
      <c r="Z19" s="24">
        <f>+'BS Actual &amp; Forecast'!Z33-'BS Actual &amp; Forecast'!Y33</f>
        <v>65262.311982609332</v>
      </c>
      <c r="AA19" s="24">
        <f>+'BS Actual &amp; Forecast'!AA33-'BS Actual &amp; Forecast'!Z33</f>
        <v>-38359.611733613652</v>
      </c>
      <c r="AB19" s="24">
        <f>+'BS Actual &amp; Forecast'!AB33-'BS Actual &amp; Forecast'!AA33</f>
        <v>-96695.42413464922</v>
      </c>
      <c r="AC19" s="24">
        <f t="shared" si="1"/>
        <v>149505.3067444287</v>
      </c>
      <c r="AE19" s="24">
        <f>+'BS Actual &amp; Forecast'!AE33-'BS Actual &amp; Forecast'!AB33</f>
        <v>115230.78088410373</v>
      </c>
      <c r="AF19" s="24">
        <f>+'BS Actual &amp; Forecast'!AF33-'BS Actual &amp; Forecast'!AE33</f>
        <v>324489.34201163542</v>
      </c>
      <c r="AG19" s="24">
        <f>+'BS Actual &amp; Forecast'!AG33-'BS Actual &amp; Forecast'!AF33</f>
        <v>-119872.98458940093</v>
      </c>
      <c r="AH19" s="24">
        <f>+'BS Actual &amp; Forecast'!AH33-'BS Actual &amp; Forecast'!AG33</f>
        <v>-367555.27333063912</v>
      </c>
      <c r="AI19" s="24">
        <f>+'BS Actual &amp; Forecast'!AI33-'BS Actual &amp; Forecast'!AH33</f>
        <v>-78246.622949426761</v>
      </c>
      <c r="AJ19" s="24">
        <f>+'BS Actual &amp; Forecast'!AJ33-'BS Actual &amp; Forecast'!AI33</f>
        <v>36267.327069341089</v>
      </c>
      <c r="AK19" s="24">
        <f>+'BS Actual &amp; Forecast'!AK33-'BS Actual &amp; Forecast'!AJ33</f>
        <v>75676.891225666623</v>
      </c>
      <c r="AL19" s="24">
        <f>+'BS Actual &amp; Forecast'!AL33-'BS Actual &amp; Forecast'!AK33</f>
        <v>175953.24958286097</v>
      </c>
      <c r="AM19" s="24">
        <f>+'BS Actual &amp; Forecast'!AM33-'BS Actual &amp; Forecast'!AL33</f>
        <v>115437.04498774267</v>
      </c>
      <c r="AN19" s="24">
        <f>+'BS Actual &amp; Forecast'!AN33-'BS Actual &amp; Forecast'!AM33</f>
        <v>-57431.118461596547</v>
      </c>
      <c r="AO19" s="24">
        <f>+'BS Actual &amp; Forecast'!AO33-'BS Actual &amp; Forecast'!AN33</f>
        <v>-117108.38806541753</v>
      </c>
      <c r="AP19" s="24">
        <f>+'BS Actual &amp; Forecast'!AP33-'BS Actual &amp; Forecast'!AO33</f>
        <v>-156373.8196464153</v>
      </c>
      <c r="AQ19" s="24">
        <f t="shared" si="2"/>
        <v>-53533.571281545679</v>
      </c>
    </row>
    <row r="20" spans="1:43" x14ac:dyDescent="0.15"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</row>
    <row r="21" spans="1:43" x14ac:dyDescent="0.15">
      <c r="A21" t="s">
        <v>177</v>
      </c>
      <c r="C21" s="24">
        <f>SUM(C9:C19)</f>
        <v>101566.38900000005</v>
      </c>
      <c r="D21" s="24">
        <f>SUM(D9:D19)</f>
        <v>276694.03654620581</v>
      </c>
      <c r="E21" s="24">
        <f t="shared" ref="E21:N21" si="3">SUM(E9:E19)</f>
        <v>136884.45058898345</v>
      </c>
      <c r="F21" s="24">
        <f t="shared" si="3"/>
        <v>-276515.13262563106</v>
      </c>
      <c r="G21" s="24">
        <f t="shared" si="3"/>
        <v>293421.16244376323</v>
      </c>
      <c r="H21" s="24">
        <f t="shared" si="3"/>
        <v>290605.95808210247</v>
      </c>
      <c r="I21" s="24">
        <f t="shared" si="3"/>
        <v>150352.78020981824</v>
      </c>
      <c r="J21" s="24">
        <f t="shared" si="3"/>
        <v>641305.05142606725</v>
      </c>
      <c r="K21" s="24">
        <f t="shared" si="3"/>
        <v>-209420.67827523724</v>
      </c>
      <c r="L21" s="24">
        <f t="shared" si="3"/>
        <v>-208470.23949825543</v>
      </c>
      <c r="M21" s="24">
        <f t="shared" si="3"/>
        <v>48832.329211096105</v>
      </c>
      <c r="N21" s="24">
        <f t="shared" si="3"/>
        <v>-208253.61087233591</v>
      </c>
      <c r="O21" s="24">
        <f t="shared" ref="O21" si="4">SUM(O9:O19)</f>
        <v>1037002.4962365769</v>
      </c>
      <c r="Q21" s="24">
        <f t="shared" ref="Q21:R21" si="5">SUM(Q9:Q19)</f>
        <v>264968.892847082</v>
      </c>
      <c r="R21" s="24">
        <f t="shared" si="5"/>
        <v>453380.19907071092</v>
      </c>
      <c r="S21" s="24">
        <f t="shared" ref="S21:V21" si="6">SUM(S9:S19)</f>
        <v>323819.93295286607</v>
      </c>
      <c r="T21" s="24">
        <f t="shared" si="6"/>
        <v>-83204.158549814834</v>
      </c>
      <c r="U21" s="24">
        <f t="shared" si="6"/>
        <v>-54192.410925052245</v>
      </c>
      <c r="V21" s="24">
        <f t="shared" si="6"/>
        <v>-19674.244369267602</v>
      </c>
      <c r="W21" s="24">
        <f t="shared" ref="W21:AB21" si="7">SUM(W9:W19)</f>
        <v>332778.85285388783</v>
      </c>
      <c r="X21" s="24">
        <f t="shared" si="7"/>
        <v>-83343.320509903715</v>
      </c>
      <c r="Y21" s="24">
        <f t="shared" si="7"/>
        <v>-27580.039962579613</v>
      </c>
      <c r="Z21" s="24">
        <f t="shared" si="7"/>
        <v>-552459.8718403778</v>
      </c>
      <c r="AA21" s="24">
        <f t="shared" si="7"/>
        <v>257892.37807345064</v>
      </c>
      <c r="AB21" s="24">
        <f t="shared" si="7"/>
        <v>-77012.188057037885</v>
      </c>
      <c r="AC21" s="24">
        <f t="shared" ref="AC21" si="8">SUM(AC9:AC19)</f>
        <v>735374.02158396412</v>
      </c>
      <c r="AE21" s="24">
        <f t="shared" ref="AE21:AF21" si="9">SUM(AE9:AE19)</f>
        <v>-335453.44536169723</v>
      </c>
      <c r="AF21" s="24">
        <f t="shared" si="9"/>
        <v>385554.21894336236</v>
      </c>
      <c r="AG21" s="24">
        <f t="shared" ref="AG21:AQ21" si="10">SUM(AG9:AG19)</f>
        <v>984565.60501022427</v>
      </c>
      <c r="AH21" s="24">
        <f t="shared" si="10"/>
        <v>806079.66524687107</v>
      </c>
      <c r="AI21" s="24">
        <f t="shared" si="10"/>
        <v>313872.47486095247</v>
      </c>
      <c r="AJ21" s="24">
        <f t="shared" si="10"/>
        <v>72520.85136099931</v>
      </c>
      <c r="AK21" s="24">
        <f t="shared" si="10"/>
        <v>40038.852860966435</v>
      </c>
      <c r="AL21" s="24">
        <f t="shared" si="10"/>
        <v>-21220.071925726195</v>
      </c>
      <c r="AM21" s="24">
        <f t="shared" si="10"/>
        <v>75449.89422378107</v>
      </c>
      <c r="AN21" s="24">
        <f t="shared" si="10"/>
        <v>298733.58723081829</v>
      </c>
      <c r="AO21" s="24">
        <f t="shared" si="10"/>
        <v>344435.17678375484</v>
      </c>
      <c r="AP21" s="24">
        <f t="shared" si="10"/>
        <v>325235.97228387522</v>
      </c>
      <c r="AQ21" s="24">
        <f t="shared" si="10"/>
        <v>3289812.7815181818</v>
      </c>
    </row>
    <row r="22" spans="1:43" x14ac:dyDescent="0.15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</row>
    <row r="23" spans="1:43" x14ac:dyDescent="0.15">
      <c r="A23" s="54" t="s">
        <v>192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</row>
    <row r="24" spans="1:43" x14ac:dyDescent="0.15">
      <c r="A24" s="54" t="s">
        <v>189</v>
      </c>
      <c r="C24" s="23">
        <v>-23540</v>
      </c>
      <c r="D24" s="23">
        <f>+'BS Actual &amp; Forecast'!C20-'BS Actual &amp; Forecast'!D20</f>
        <v>0</v>
      </c>
      <c r="E24" s="23">
        <f>+'BS Actual &amp; Forecast'!D20-'BS Actual &amp; Forecast'!E20</f>
        <v>-15545</v>
      </c>
      <c r="F24" s="23">
        <f>+'BS Actual &amp; Forecast'!E20-'BS Actual &amp; Forecast'!F20</f>
        <v>0</v>
      </c>
      <c r="G24" s="23">
        <f>+'BS Actual &amp; Forecast'!F20-'BS Actual &amp; Forecast'!G20</f>
        <v>-3590</v>
      </c>
      <c r="H24" s="23">
        <f>+'BS Actual &amp; Forecast'!G20-'BS Actual &amp; Forecast'!H20</f>
        <v>0</v>
      </c>
      <c r="I24" s="23">
        <f>+'BS Actual &amp; Forecast'!H20-'BS Actual &amp; Forecast'!I20</f>
        <v>0</v>
      </c>
      <c r="J24" s="23">
        <f>+'BS Actual &amp; Forecast'!I20-'BS Actual &amp; Forecast'!J20</f>
        <v>-23989</v>
      </c>
      <c r="K24" s="23">
        <f>+'BS Actual &amp; Forecast'!J20-'BS Actual &amp; Forecast'!K20</f>
        <v>0</v>
      </c>
      <c r="L24" s="23">
        <f>+'BS Actual &amp; Forecast'!K20-'BS Actual &amp; Forecast'!L20</f>
        <v>-4470</v>
      </c>
      <c r="M24" s="23">
        <f>+'BS Actual &amp; Forecast'!L20-'BS Actual &amp; Forecast'!M20</f>
        <v>0</v>
      </c>
      <c r="N24" s="23">
        <f>+'BS Actual &amp; Forecast'!M20-'BS Actual &amp; Forecast'!N20</f>
        <v>0</v>
      </c>
      <c r="O24" s="35">
        <f t="shared" ref="O24" si="11">SUM(C24:N24)</f>
        <v>-71134</v>
      </c>
      <c r="Q24" s="23">
        <f>+'BS Actual &amp; Forecast'!N20-'BS Actual &amp; Forecast'!Q20</f>
        <v>-11250</v>
      </c>
      <c r="R24" s="23">
        <f>+'BS Actual &amp; Forecast'!Q20-'BS Actual &amp; Forecast'!R20</f>
        <v>0</v>
      </c>
      <c r="S24" s="23">
        <f>+'BS Actual &amp; Forecast'!R20-'BS Actual &amp; Forecast'!S20</f>
        <v>-18752</v>
      </c>
      <c r="T24" s="23">
        <f>+'BS Actual &amp; Forecast'!S20-'BS Actual &amp; Forecast'!T20</f>
        <v>0</v>
      </c>
      <c r="U24" s="23">
        <f>+'BS Actual &amp; Forecast'!T20-'BS Actual &amp; Forecast'!U20</f>
        <v>0</v>
      </c>
      <c r="V24" s="23">
        <f>+'BS Actual &amp; Forecast'!U20-'BS Actual &amp; Forecast'!V20</f>
        <v>0</v>
      </c>
      <c r="W24" s="23">
        <f>+'BS Actual &amp; Forecast'!V20-'BS Actual &amp; Forecast'!W20</f>
        <v>-25000</v>
      </c>
      <c r="X24" s="23">
        <f>+'BS Actual &amp; Forecast'!W20-'BS Actual &amp; Forecast'!X20</f>
        <v>0</v>
      </c>
      <c r="Y24" s="23">
        <f>+'BS Actual &amp; Forecast'!X20-'BS Actual &amp; Forecast'!Y20</f>
        <v>0</v>
      </c>
      <c r="Z24" s="23">
        <f>+'BS Actual &amp; Forecast'!Y20-'BS Actual &amp; Forecast'!Z20</f>
        <v>-15000</v>
      </c>
      <c r="AA24" s="23">
        <f>+'BS Actual &amp; Forecast'!Z20-'BS Actual &amp; Forecast'!AA20</f>
        <v>0</v>
      </c>
      <c r="AB24" s="23">
        <f>+'BS Actual &amp; Forecast'!AA20-'BS Actual &amp; Forecast'!AB20</f>
        <v>0</v>
      </c>
      <c r="AC24" s="35">
        <f t="shared" ref="AC24" si="12">SUM(Q24:AB24)</f>
        <v>-70002</v>
      </c>
      <c r="AE24" s="23">
        <v>-15000</v>
      </c>
      <c r="AF24" s="23">
        <f>+'BS Actual &amp; Forecast'!AE20-'BS Actual &amp; Forecast'!AF20</f>
        <v>0</v>
      </c>
      <c r="AG24" s="23">
        <v>-10000</v>
      </c>
      <c r="AH24" s="23">
        <f>+'BS Actual &amp; Forecast'!AG20-'BS Actual &amp; Forecast'!AH20</f>
        <v>0</v>
      </c>
      <c r="AI24" s="23">
        <f>+'BS Actual &amp; Forecast'!AH20-'BS Actual &amp; Forecast'!AI20</f>
        <v>0</v>
      </c>
      <c r="AJ24" s="23">
        <v>-25000</v>
      </c>
      <c r="AK24" s="23">
        <f>+'BS Actual &amp; Forecast'!AJ20-'BS Actual &amp; Forecast'!AK20</f>
        <v>0</v>
      </c>
      <c r="AL24" s="23">
        <f>+'BS Actual &amp; Forecast'!AK20-'BS Actual &amp; Forecast'!AL20</f>
        <v>0</v>
      </c>
      <c r="AM24" s="23">
        <v>-50000</v>
      </c>
      <c r="AN24" s="23">
        <f>+'BS Actual &amp; Forecast'!AM20-'BS Actual &amp; Forecast'!AN20</f>
        <v>0</v>
      </c>
      <c r="AO24" s="23">
        <f>+'BS Actual &amp; Forecast'!AN20-'BS Actual &amp; Forecast'!AO20</f>
        <v>0</v>
      </c>
      <c r="AP24" s="23">
        <f>+'BS Actual &amp; Forecast'!AO20-'BS Actual &amp; Forecast'!AP20</f>
        <v>0</v>
      </c>
      <c r="AQ24" s="35">
        <f t="shared" ref="AQ24" si="13">SUM(AE24:AP24)</f>
        <v>-100000</v>
      </c>
    </row>
    <row r="25" spans="1:43" x14ac:dyDescent="0.1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43" x14ac:dyDescent="0.1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</row>
    <row r="27" spans="1:43" x14ac:dyDescent="0.15">
      <c r="A27" s="54" t="s">
        <v>190</v>
      </c>
      <c r="C27" s="24">
        <f>SUM(C24:C25)</f>
        <v>-23540</v>
      </c>
      <c r="D27" s="24">
        <f>SUM(D24:D25)</f>
        <v>0</v>
      </c>
      <c r="E27" s="24">
        <f t="shared" ref="E27:N27" si="14">SUM(E24:E25)</f>
        <v>-15545</v>
      </c>
      <c r="F27" s="24">
        <f t="shared" si="14"/>
        <v>0</v>
      </c>
      <c r="G27" s="24">
        <f t="shared" si="14"/>
        <v>-3590</v>
      </c>
      <c r="H27" s="24">
        <f t="shared" si="14"/>
        <v>0</v>
      </c>
      <c r="I27" s="24">
        <f t="shared" si="14"/>
        <v>0</v>
      </c>
      <c r="J27" s="24">
        <f t="shared" si="14"/>
        <v>-23989</v>
      </c>
      <c r="K27" s="24">
        <f t="shared" si="14"/>
        <v>0</v>
      </c>
      <c r="L27" s="24">
        <f t="shared" si="14"/>
        <v>-4470</v>
      </c>
      <c r="M27" s="24">
        <f t="shared" si="14"/>
        <v>0</v>
      </c>
      <c r="N27" s="24">
        <f t="shared" si="14"/>
        <v>0</v>
      </c>
      <c r="O27" s="24">
        <f t="shared" ref="O27" si="15">SUM(O24:O25)</f>
        <v>-71134</v>
      </c>
      <c r="Q27" s="24">
        <f t="shared" ref="Q27:R27" si="16">SUM(Q24:Q25)</f>
        <v>-11250</v>
      </c>
      <c r="R27" s="24">
        <f t="shared" si="16"/>
        <v>0</v>
      </c>
      <c r="S27" s="24">
        <f t="shared" ref="S27:V27" si="17">SUM(S24:S25)</f>
        <v>-18752</v>
      </c>
      <c r="T27" s="24">
        <f t="shared" si="17"/>
        <v>0</v>
      </c>
      <c r="U27" s="24">
        <f t="shared" si="17"/>
        <v>0</v>
      </c>
      <c r="V27" s="24">
        <f t="shared" si="17"/>
        <v>0</v>
      </c>
      <c r="W27" s="24">
        <f t="shared" ref="W27:AB27" si="18">SUM(W24:W25)</f>
        <v>-25000</v>
      </c>
      <c r="X27" s="24">
        <f t="shared" si="18"/>
        <v>0</v>
      </c>
      <c r="Y27" s="24">
        <f t="shared" si="18"/>
        <v>0</v>
      </c>
      <c r="Z27" s="24">
        <f t="shared" si="18"/>
        <v>-15000</v>
      </c>
      <c r="AA27" s="24">
        <f t="shared" si="18"/>
        <v>0</v>
      </c>
      <c r="AB27" s="24">
        <f t="shared" si="18"/>
        <v>0</v>
      </c>
      <c r="AC27" s="24">
        <f t="shared" ref="AC27" si="19">SUM(AC24:AC25)</f>
        <v>-70002</v>
      </c>
      <c r="AE27" s="24">
        <f t="shared" ref="AE27:AF27" si="20">SUM(AE24:AE25)</f>
        <v>-15000</v>
      </c>
      <c r="AF27" s="24">
        <f t="shared" si="20"/>
        <v>0</v>
      </c>
      <c r="AG27" s="24">
        <f t="shared" ref="AG27:AQ27" si="21">SUM(AG24:AG25)</f>
        <v>-10000</v>
      </c>
      <c r="AH27" s="24">
        <f t="shared" si="21"/>
        <v>0</v>
      </c>
      <c r="AI27" s="24">
        <f t="shared" si="21"/>
        <v>0</v>
      </c>
      <c r="AJ27" s="24">
        <f t="shared" si="21"/>
        <v>-25000</v>
      </c>
      <c r="AK27" s="24">
        <f t="shared" si="21"/>
        <v>0</v>
      </c>
      <c r="AL27" s="24">
        <f t="shared" si="21"/>
        <v>0</v>
      </c>
      <c r="AM27" s="24">
        <f t="shared" si="21"/>
        <v>-50000</v>
      </c>
      <c r="AN27" s="24">
        <f t="shared" si="21"/>
        <v>0</v>
      </c>
      <c r="AO27" s="24">
        <f t="shared" si="21"/>
        <v>0</v>
      </c>
      <c r="AP27" s="24">
        <f t="shared" si="21"/>
        <v>0</v>
      </c>
      <c r="AQ27" s="24">
        <f t="shared" si="21"/>
        <v>-100000</v>
      </c>
    </row>
    <row r="28" spans="1:43" x14ac:dyDescent="0.1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</row>
    <row r="29" spans="1:43" x14ac:dyDescent="0.15">
      <c r="A29" s="54" t="s">
        <v>191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</row>
    <row r="30" spans="1:43" x14ac:dyDescent="0.15">
      <c r="A30" s="54" t="s">
        <v>193</v>
      </c>
      <c r="C30" s="23">
        <v>-5000</v>
      </c>
      <c r="D30" s="23">
        <f>+'BS Actual &amp; Forecast'!D37-'BS Actual &amp; Forecast'!C37</f>
        <v>-5000</v>
      </c>
      <c r="E30" s="23">
        <f>+'BS Actual &amp; Forecast'!E37-'BS Actual &amp; Forecast'!D37</f>
        <v>-5000</v>
      </c>
      <c r="F30" s="23">
        <f>+'BS Actual &amp; Forecast'!F37-'BS Actual &amp; Forecast'!E37</f>
        <v>-5000</v>
      </c>
      <c r="G30" s="23">
        <f>+'BS Actual &amp; Forecast'!G37-'BS Actual &amp; Forecast'!F37</f>
        <v>-5000</v>
      </c>
      <c r="H30" s="23">
        <f>+'BS Actual &amp; Forecast'!H37-'BS Actual &amp; Forecast'!G37</f>
        <v>-5000</v>
      </c>
      <c r="I30" s="23">
        <f>+'BS Actual &amp; Forecast'!I37-'BS Actual &amp; Forecast'!H37</f>
        <v>-5000</v>
      </c>
      <c r="J30" s="23">
        <f>+'BS Actual &amp; Forecast'!J37-'BS Actual &amp; Forecast'!I37</f>
        <v>-5000</v>
      </c>
      <c r="K30" s="23">
        <f>+'BS Actual &amp; Forecast'!K37-'BS Actual &amp; Forecast'!J37</f>
        <v>-5000</v>
      </c>
      <c r="L30" s="23">
        <f>+'BS Actual &amp; Forecast'!L37-'BS Actual &amp; Forecast'!K37</f>
        <v>-5000</v>
      </c>
      <c r="M30" s="23">
        <f>+'BS Actual &amp; Forecast'!M37-'BS Actual &amp; Forecast'!L37</f>
        <v>-5000</v>
      </c>
      <c r="N30" s="23">
        <f>+'BS Actual &amp; Forecast'!N37-'BS Actual &amp; Forecast'!M37</f>
        <v>-5000</v>
      </c>
      <c r="O30" s="35">
        <f t="shared" ref="O30:O31" si="22">SUM(C30:N30)</f>
        <v>-60000</v>
      </c>
      <c r="Q30" s="23">
        <f>+'BS Actual &amp; Forecast'!Q37-'BS Actual &amp; Forecast'!N37</f>
        <v>-5000</v>
      </c>
      <c r="R30" s="23">
        <f>+'BS Actual &amp; Forecast'!R37-'BS Actual &amp; Forecast'!Q37</f>
        <v>-5000</v>
      </c>
      <c r="S30" s="23">
        <f>+'BS Actual &amp; Forecast'!S37-'BS Actual &amp; Forecast'!R37</f>
        <v>-5000</v>
      </c>
      <c r="T30" s="23">
        <f>+'BS Actual &amp; Forecast'!T37-'BS Actual &amp; Forecast'!S37</f>
        <v>-5000</v>
      </c>
      <c r="U30" s="23">
        <f>+'BS Actual &amp; Forecast'!U37-'BS Actual &amp; Forecast'!T37</f>
        <v>-5000</v>
      </c>
      <c r="V30" s="23">
        <f>+'BS Actual &amp; Forecast'!V37-'BS Actual &amp; Forecast'!U37</f>
        <v>-5000</v>
      </c>
      <c r="W30" s="23">
        <f>+'BS Actual &amp; Forecast'!W37-'BS Actual &amp; Forecast'!V37</f>
        <v>-5000</v>
      </c>
      <c r="X30" s="23">
        <f>+'BS Actual &amp; Forecast'!X37-'BS Actual &amp; Forecast'!W37</f>
        <v>-5000</v>
      </c>
      <c r="Y30" s="23">
        <f>+'BS Actual &amp; Forecast'!Y37-'BS Actual &amp; Forecast'!X37</f>
        <v>-5000</v>
      </c>
      <c r="Z30" s="23">
        <f>+'BS Actual &amp; Forecast'!Z37-'BS Actual &amp; Forecast'!Y37</f>
        <v>-5000</v>
      </c>
      <c r="AA30" s="23">
        <f>+'BS Actual &amp; Forecast'!AA37-'BS Actual &amp; Forecast'!Z37</f>
        <v>-5000</v>
      </c>
      <c r="AB30" s="23">
        <f>+'BS Actual &amp; Forecast'!AB37-'BS Actual &amp; Forecast'!AA37</f>
        <v>-5000</v>
      </c>
      <c r="AC30" s="35">
        <f t="shared" ref="AC30:AC31" si="23">SUM(Q30:AB30)</f>
        <v>-60000</v>
      </c>
      <c r="AE30" s="23">
        <f>+'BS Actual &amp; Forecast'!AE37-'BS Actual &amp; Forecast'!AB37</f>
        <v>-5000</v>
      </c>
      <c r="AF30" s="23">
        <f>+'BS Actual &amp; Forecast'!AF37-'BS Actual &amp; Forecast'!AE37</f>
        <v>-5000</v>
      </c>
      <c r="AG30" s="23">
        <f>+'BS Actual &amp; Forecast'!AG37-'BS Actual &amp; Forecast'!AF37</f>
        <v>-5000</v>
      </c>
      <c r="AH30" s="23">
        <f>+'BS Actual &amp; Forecast'!AH37-'BS Actual &amp; Forecast'!AG37</f>
        <v>-5000</v>
      </c>
      <c r="AI30" s="23">
        <f>+'BS Actual &amp; Forecast'!AI37-'BS Actual &amp; Forecast'!AH37</f>
        <v>-5000</v>
      </c>
      <c r="AJ30" s="23">
        <f>+'BS Actual &amp; Forecast'!AJ37-'BS Actual &amp; Forecast'!AI37</f>
        <v>-5000</v>
      </c>
      <c r="AK30" s="23">
        <f>+'BS Actual &amp; Forecast'!AK37-'BS Actual &amp; Forecast'!AJ37</f>
        <v>-170707.5</v>
      </c>
      <c r="AL30" s="23">
        <f>+'BS Actual &amp; Forecast'!AL37-'BS Actual &amp; Forecast'!AK37</f>
        <v>-170707.5</v>
      </c>
      <c r="AM30" s="23">
        <f>+'BS Actual &amp; Forecast'!AM37-'BS Actual &amp; Forecast'!AL37</f>
        <v>-170707.5</v>
      </c>
      <c r="AN30" s="23">
        <f>+'BS Actual &amp; Forecast'!AN37-'BS Actual &amp; Forecast'!AM37</f>
        <v>-170707.5</v>
      </c>
      <c r="AO30" s="23">
        <f>+'BS Actual &amp; Forecast'!AO37-'BS Actual &amp; Forecast'!AN37</f>
        <v>-170707.5</v>
      </c>
      <c r="AP30" s="23">
        <f>+'BS Actual &amp; Forecast'!AP37-'BS Actual &amp; Forecast'!AO37</f>
        <v>-170707.5</v>
      </c>
      <c r="AQ30" s="35">
        <f t="shared" ref="AQ30:AQ31" si="24">SUM(AE30:AP30)</f>
        <v>-1054245</v>
      </c>
    </row>
    <row r="31" spans="1:43" x14ac:dyDescent="0.15">
      <c r="A31" s="54" t="s">
        <v>194</v>
      </c>
      <c r="C31" s="24">
        <v>-175000</v>
      </c>
      <c r="D31" s="24">
        <f>+'BS Actual &amp; Forecast'!D41-'BS Actual &amp; Forecast'!C41</f>
        <v>-75000</v>
      </c>
      <c r="E31" s="24">
        <f>+'BS Actual &amp; Forecast'!E41-'BS Actual &amp; Forecast'!D41</f>
        <v>-75000</v>
      </c>
      <c r="F31" s="24">
        <f>+'BS Actual &amp; Forecast'!F41-'BS Actual &amp; Forecast'!E41</f>
        <v>-75000</v>
      </c>
      <c r="G31" s="24">
        <f>+'BS Actual &amp; Forecast'!G41-'BS Actual &amp; Forecast'!F41</f>
        <v>-75000</v>
      </c>
      <c r="H31" s="24">
        <f>+'BS Actual &amp; Forecast'!H41-'BS Actual &amp; Forecast'!G41</f>
        <v>-75000</v>
      </c>
      <c r="I31" s="24">
        <f>+'BS Actual &amp; Forecast'!I41-'BS Actual &amp; Forecast'!H41</f>
        <v>-75000</v>
      </c>
      <c r="J31" s="24">
        <f>+'BS Actual &amp; Forecast'!J41-'BS Actual &amp; Forecast'!I41</f>
        <v>-75000</v>
      </c>
      <c r="K31" s="24">
        <f>+'BS Actual &amp; Forecast'!K41-'BS Actual &amp; Forecast'!J41</f>
        <v>-75000</v>
      </c>
      <c r="L31" s="24">
        <f>+'BS Actual &amp; Forecast'!L41-'BS Actual &amp; Forecast'!K41</f>
        <v>-75000</v>
      </c>
      <c r="M31" s="24">
        <f>+'BS Actual &amp; Forecast'!M41-'BS Actual &amp; Forecast'!L41</f>
        <v>-75000</v>
      </c>
      <c r="N31" s="24">
        <f>+'BS Actual &amp; Forecast'!N41-'BS Actual &amp; Forecast'!M41</f>
        <v>-400000</v>
      </c>
      <c r="O31" s="24">
        <f t="shared" si="22"/>
        <v>-1325000</v>
      </c>
      <c r="Q31" s="24">
        <f>+'BS Actual &amp; Forecast'!Q41-'BS Actual &amp; Forecast'!N41</f>
        <v>-100000</v>
      </c>
      <c r="R31" s="24">
        <f>+'BS Actual &amp; Forecast'!R41-'BS Actual &amp; Forecast'!Q41</f>
        <v>-100000</v>
      </c>
      <c r="S31" s="24">
        <f>+'BS Actual &amp; Forecast'!S41-'BS Actual &amp; Forecast'!R41</f>
        <v>-100000</v>
      </c>
      <c r="T31" s="24">
        <f>+'BS Actual &amp; Forecast'!T41-'BS Actual &amp; Forecast'!S41</f>
        <v>-100000</v>
      </c>
      <c r="U31" s="24">
        <f>+'BS Actual &amp; Forecast'!U41-'BS Actual &amp; Forecast'!T41</f>
        <v>-100000</v>
      </c>
      <c r="V31" s="24">
        <f>+'BS Actual &amp; Forecast'!V41-'BS Actual &amp; Forecast'!U41</f>
        <v>-100000</v>
      </c>
      <c r="W31" s="24">
        <f>+'Assumptions Summary'!W38</f>
        <v>-100000</v>
      </c>
      <c r="X31" s="24">
        <f>+'Assumptions Summary'!X38</f>
        <v>0</v>
      </c>
      <c r="Y31" s="24">
        <f>+'Assumptions Summary'!Y38</f>
        <v>0</v>
      </c>
      <c r="Z31" s="24">
        <f>+'Assumptions Summary'!Z38</f>
        <v>0</v>
      </c>
      <c r="AA31" s="24">
        <f>+'Assumptions Summary'!AA38</f>
        <v>0</v>
      </c>
      <c r="AB31" s="24">
        <f>+'Assumptions Summary'!AB38</f>
        <v>0</v>
      </c>
      <c r="AC31" s="24">
        <f t="shared" si="23"/>
        <v>-700000</v>
      </c>
      <c r="AE31" s="24">
        <f>+'Assumptions Summary'!AE38</f>
        <v>0</v>
      </c>
      <c r="AF31" s="24">
        <f>+'Assumptions Summary'!AF38</f>
        <v>0</v>
      </c>
      <c r="AG31" s="24">
        <f>+'Assumptions Summary'!AG38</f>
        <v>-100000</v>
      </c>
      <c r="AH31" s="24">
        <f>+'Assumptions Summary'!AH38</f>
        <v>-100000</v>
      </c>
      <c r="AI31" s="24">
        <f>+'Assumptions Summary'!AI38</f>
        <v>-100000</v>
      </c>
      <c r="AJ31" s="24">
        <f>+'Assumptions Summary'!AJ38</f>
        <v>-100000</v>
      </c>
      <c r="AK31" s="24">
        <f>+'Assumptions Summary'!AK38</f>
        <v>-100000</v>
      </c>
      <c r="AL31" s="24">
        <f>+'Assumptions Summary'!AL38</f>
        <v>-100000</v>
      </c>
      <c r="AM31" s="24">
        <f>+'Assumptions Summary'!AM38</f>
        <v>-100000</v>
      </c>
      <c r="AN31" s="24">
        <f>+'Assumptions Summary'!AN38</f>
        <v>-100000</v>
      </c>
      <c r="AO31" s="24">
        <f>+'Assumptions Summary'!AO38</f>
        <v>-100000</v>
      </c>
      <c r="AP31" s="24">
        <f>+'Assumptions Summary'!AP38</f>
        <v>-600000</v>
      </c>
      <c r="AQ31" s="24">
        <f t="shared" si="24"/>
        <v>-1500000</v>
      </c>
    </row>
    <row r="32" spans="1:43" x14ac:dyDescent="0.1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</row>
    <row r="33" spans="1:43" x14ac:dyDescent="0.15">
      <c r="A33" s="54" t="s">
        <v>195</v>
      </c>
      <c r="C33" s="24">
        <f>SUM(C30:C31)</f>
        <v>-180000</v>
      </c>
      <c r="D33" s="24">
        <f>SUM(D30:D31)</f>
        <v>-80000</v>
      </c>
      <c r="E33" s="24">
        <f t="shared" ref="E33:N33" si="25">SUM(E30:E31)</f>
        <v>-80000</v>
      </c>
      <c r="F33" s="24">
        <f t="shared" si="25"/>
        <v>-80000</v>
      </c>
      <c r="G33" s="24">
        <f t="shared" si="25"/>
        <v>-80000</v>
      </c>
      <c r="H33" s="24">
        <f t="shared" si="25"/>
        <v>-80000</v>
      </c>
      <c r="I33" s="24">
        <f t="shared" si="25"/>
        <v>-80000</v>
      </c>
      <c r="J33" s="24">
        <f t="shared" si="25"/>
        <v>-80000</v>
      </c>
      <c r="K33" s="24">
        <f t="shared" si="25"/>
        <v>-80000</v>
      </c>
      <c r="L33" s="24">
        <f t="shared" si="25"/>
        <v>-80000</v>
      </c>
      <c r="M33" s="24">
        <f t="shared" si="25"/>
        <v>-80000</v>
      </c>
      <c r="N33" s="24">
        <f t="shared" si="25"/>
        <v>-405000</v>
      </c>
      <c r="O33" s="24">
        <f t="shared" ref="O33" si="26">SUM(O30:O31)</f>
        <v>-1385000</v>
      </c>
      <c r="Q33" s="24">
        <f t="shared" ref="Q33:R33" si="27">SUM(Q30:Q31)</f>
        <v>-105000</v>
      </c>
      <c r="R33" s="24">
        <f t="shared" si="27"/>
        <v>-105000</v>
      </c>
      <c r="S33" s="24">
        <f t="shared" ref="S33:V33" si="28">SUM(S30:S31)</f>
        <v>-105000</v>
      </c>
      <c r="T33" s="24">
        <f t="shared" si="28"/>
        <v>-105000</v>
      </c>
      <c r="U33" s="24">
        <f t="shared" si="28"/>
        <v>-105000</v>
      </c>
      <c r="V33" s="24">
        <f t="shared" si="28"/>
        <v>-105000</v>
      </c>
      <c r="W33" s="24">
        <f t="shared" ref="W33:AB33" si="29">SUM(W30:W31)</f>
        <v>-105000</v>
      </c>
      <c r="X33" s="24">
        <f t="shared" si="29"/>
        <v>-5000</v>
      </c>
      <c r="Y33" s="24">
        <f t="shared" si="29"/>
        <v>-5000</v>
      </c>
      <c r="Z33" s="24">
        <f t="shared" si="29"/>
        <v>-5000</v>
      </c>
      <c r="AA33" s="24">
        <f t="shared" si="29"/>
        <v>-5000</v>
      </c>
      <c r="AB33" s="24">
        <f t="shared" si="29"/>
        <v>-5000</v>
      </c>
      <c r="AC33" s="24">
        <f t="shared" ref="AC33" si="30">SUM(AC30:AC31)</f>
        <v>-760000</v>
      </c>
      <c r="AE33" s="24">
        <f t="shared" ref="AE33:AF33" si="31">SUM(AE30:AE31)</f>
        <v>-5000</v>
      </c>
      <c r="AF33" s="24">
        <f t="shared" si="31"/>
        <v>-5000</v>
      </c>
      <c r="AG33" s="24">
        <f t="shared" ref="AG33:AQ33" si="32">SUM(AG30:AG31)</f>
        <v>-105000</v>
      </c>
      <c r="AH33" s="24">
        <f t="shared" si="32"/>
        <v>-105000</v>
      </c>
      <c r="AI33" s="24">
        <f t="shared" si="32"/>
        <v>-105000</v>
      </c>
      <c r="AJ33" s="24">
        <f t="shared" si="32"/>
        <v>-105000</v>
      </c>
      <c r="AK33" s="24">
        <f t="shared" si="32"/>
        <v>-270707.5</v>
      </c>
      <c r="AL33" s="24">
        <f t="shared" si="32"/>
        <v>-270707.5</v>
      </c>
      <c r="AM33" s="24">
        <f t="shared" si="32"/>
        <v>-270707.5</v>
      </c>
      <c r="AN33" s="24">
        <f t="shared" si="32"/>
        <v>-270707.5</v>
      </c>
      <c r="AO33" s="24">
        <f t="shared" si="32"/>
        <v>-270707.5</v>
      </c>
      <c r="AP33" s="24">
        <f t="shared" si="32"/>
        <v>-770707.5</v>
      </c>
      <c r="AQ33" s="24">
        <f t="shared" si="32"/>
        <v>-2554245</v>
      </c>
    </row>
    <row r="34" spans="1:43" x14ac:dyDescent="0.15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</row>
    <row r="35" spans="1:43" x14ac:dyDescent="0.1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</row>
    <row r="36" spans="1:43" x14ac:dyDescent="0.15">
      <c r="A36" s="54" t="s">
        <v>196</v>
      </c>
      <c r="C36" s="23">
        <f>+C21+C27+C33</f>
        <v>-101973.61099999995</v>
      </c>
      <c r="D36" s="23">
        <f>+D21+D27+D33</f>
        <v>196694.03654620581</v>
      </c>
      <c r="E36" s="23">
        <f t="shared" ref="E36:N36" si="33">+E21+E27+E33</f>
        <v>41339.450588983455</v>
      </c>
      <c r="F36" s="23">
        <f t="shared" si="33"/>
        <v>-356515.13262563106</v>
      </c>
      <c r="G36" s="23">
        <f t="shared" si="33"/>
        <v>209831.16244376323</v>
      </c>
      <c r="H36" s="23">
        <f t="shared" si="33"/>
        <v>210605.95808210247</v>
      </c>
      <c r="I36" s="23">
        <f t="shared" si="33"/>
        <v>70352.780209818244</v>
      </c>
      <c r="J36" s="23">
        <f t="shared" si="33"/>
        <v>537316.05142606725</v>
      </c>
      <c r="K36" s="23">
        <f t="shared" si="33"/>
        <v>-289420.67827523721</v>
      </c>
      <c r="L36" s="23">
        <f t="shared" si="33"/>
        <v>-292940.23949825543</v>
      </c>
      <c r="M36" s="23">
        <f t="shared" si="33"/>
        <v>-31167.670788903895</v>
      </c>
      <c r="N36" s="23">
        <f t="shared" si="33"/>
        <v>-613253.61087233596</v>
      </c>
      <c r="O36" s="23">
        <f t="shared" ref="O36" si="34">+O21+O27+O33</f>
        <v>-419131.50376342307</v>
      </c>
      <c r="Q36" s="23">
        <f t="shared" ref="Q36:R36" si="35">+Q21+Q27+Q33</f>
        <v>148718.892847082</v>
      </c>
      <c r="R36" s="23">
        <f t="shared" si="35"/>
        <v>348380.19907071092</v>
      </c>
      <c r="S36" s="23">
        <f t="shared" ref="S36:V36" si="36">+S21+S27+S33</f>
        <v>200067.93295286607</v>
      </c>
      <c r="T36" s="23">
        <f t="shared" si="36"/>
        <v>-188204.15854981483</v>
      </c>
      <c r="U36" s="23">
        <f t="shared" si="36"/>
        <v>-159192.41092505225</v>
      </c>
      <c r="V36" s="23">
        <f t="shared" si="36"/>
        <v>-124674.2443692676</v>
      </c>
      <c r="W36" s="23">
        <f t="shared" ref="W36:AB36" si="37">+W21+W27+W33</f>
        <v>202778.85285388783</v>
      </c>
      <c r="X36" s="23">
        <f t="shared" si="37"/>
        <v>-88343.320509903715</v>
      </c>
      <c r="Y36" s="23">
        <f t="shared" si="37"/>
        <v>-32580.039962579613</v>
      </c>
      <c r="Z36" s="23">
        <f t="shared" si="37"/>
        <v>-572459.8718403778</v>
      </c>
      <c r="AA36" s="23">
        <f t="shared" si="37"/>
        <v>252892.37807345064</v>
      </c>
      <c r="AB36" s="23">
        <f t="shared" si="37"/>
        <v>-82012.188057037885</v>
      </c>
      <c r="AC36" s="23">
        <f t="shared" ref="AC36" si="38">+AC21+AC27+AC33</f>
        <v>-94627.978416035883</v>
      </c>
      <c r="AE36" s="23">
        <f t="shared" ref="AE36:AF36" si="39">+AE21+AE27+AE33</f>
        <v>-355453.44536169723</v>
      </c>
      <c r="AF36" s="23">
        <f t="shared" si="39"/>
        <v>380554.21894336236</v>
      </c>
      <c r="AG36" s="23">
        <f t="shared" ref="AG36:AQ36" si="40">+AG21+AG27+AG33</f>
        <v>869565.60501022427</v>
      </c>
      <c r="AH36" s="23">
        <f t="shared" si="40"/>
        <v>701079.66524687107</v>
      </c>
      <c r="AI36" s="23">
        <f t="shared" si="40"/>
        <v>208872.47486095247</v>
      </c>
      <c r="AJ36" s="23">
        <f t="shared" si="40"/>
        <v>-57479.14863900069</v>
      </c>
      <c r="AK36" s="23">
        <f t="shared" si="40"/>
        <v>-230668.64713903356</v>
      </c>
      <c r="AL36" s="23">
        <f t="shared" si="40"/>
        <v>-291927.5719257262</v>
      </c>
      <c r="AM36" s="23">
        <f t="shared" si="40"/>
        <v>-245257.60577621893</v>
      </c>
      <c r="AN36" s="23">
        <f t="shared" si="40"/>
        <v>28026.087230818288</v>
      </c>
      <c r="AO36" s="23">
        <f t="shared" si="40"/>
        <v>73727.67678375484</v>
      </c>
      <c r="AP36" s="23">
        <f t="shared" si="40"/>
        <v>-445471.52771612478</v>
      </c>
      <c r="AQ36" s="23">
        <f t="shared" si="40"/>
        <v>635567.78151818179</v>
      </c>
    </row>
    <row r="38" spans="1:43" x14ac:dyDescent="0.15">
      <c r="A38" s="54" t="s">
        <v>197</v>
      </c>
      <c r="C38" s="24">
        <f>1208785+25000+11659</f>
        <v>1245444</v>
      </c>
      <c r="D38" s="24">
        <f>+C40</f>
        <v>1143470.389</v>
      </c>
      <c r="E38" s="24">
        <f t="shared" ref="E38:N38" si="41">+D40</f>
        <v>1340164.4255462058</v>
      </c>
      <c r="F38" s="24">
        <f t="shared" si="41"/>
        <v>1381503.8761351893</v>
      </c>
      <c r="G38" s="24">
        <f t="shared" si="41"/>
        <v>1024988.7435095583</v>
      </c>
      <c r="H38" s="24">
        <f t="shared" si="41"/>
        <v>1234819.9059533216</v>
      </c>
      <c r="I38" s="24">
        <f t="shared" si="41"/>
        <v>1445425.8640354241</v>
      </c>
      <c r="J38" s="24">
        <f t="shared" si="41"/>
        <v>1515778.6442452422</v>
      </c>
      <c r="K38" s="24">
        <f t="shared" si="41"/>
        <v>2053094.6956713095</v>
      </c>
      <c r="L38" s="24">
        <f t="shared" si="41"/>
        <v>1763674.0173960724</v>
      </c>
      <c r="M38" s="24">
        <f t="shared" si="41"/>
        <v>1470733.7778978171</v>
      </c>
      <c r="N38" s="24">
        <f t="shared" si="41"/>
        <v>1439566.1071089131</v>
      </c>
      <c r="O38" s="24">
        <f>+C38</f>
        <v>1245444</v>
      </c>
      <c r="Q38" s="24">
        <f>+N40</f>
        <v>826312.49623657716</v>
      </c>
      <c r="R38" s="24">
        <f t="shared" ref="R38" si="42">+Q40</f>
        <v>975031.38908365916</v>
      </c>
      <c r="S38" s="24">
        <f t="shared" ref="S38:V38" si="43">+R40</f>
        <v>1323411.58815437</v>
      </c>
      <c r="T38" s="24">
        <f t="shared" si="43"/>
        <v>1523479.5211072359</v>
      </c>
      <c r="U38" s="24">
        <f t="shared" si="43"/>
        <v>1335275.362557421</v>
      </c>
      <c r="V38" s="24">
        <f t="shared" si="43"/>
        <v>1176082.9516323688</v>
      </c>
      <c r="W38" s="24">
        <f t="shared" ref="W38" si="44">+V40</f>
        <v>1051408.7072631014</v>
      </c>
      <c r="X38" s="24">
        <f t="shared" ref="X38" si="45">+W40</f>
        <v>1254187.5601169891</v>
      </c>
      <c r="Y38" s="24">
        <f t="shared" ref="Y38" si="46">+X40</f>
        <v>1165844.2396070855</v>
      </c>
      <c r="Z38" s="24">
        <f t="shared" ref="Z38" si="47">+Y40</f>
        <v>1133264.199644506</v>
      </c>
      <c r="AA38" s="24">
        <f t="shared" ref="AA38" si="48">+Z40</f>
        <v>560804.32780412817</v>
      </c>
      <c r="AB38" s="24">
        <f t="shared" ref="AB38" si="49">+AA40</f>
        <v>813696.70587757882</v>
      </c>
      <c r="AC38" s="24">
        <f>+Q38</f>
        <v>826312.49623657716</v>
      </c>
      <c r="AE38" s="24">
        <f>+AB40</f>
        <v>731684.51782054093</v>
      </c>
      <c r="AF38" s="24">
        <f t="shared" ref="AF38" si="50">+AE40</f>
        <v>376231.0724588437</v>
      </c>
      <c r="AG38" s="24">
        <f t="shared" ref="AG38" si="51">+AF40</f>
        <v>756785.29140220606</v>
      </c>
      <c r="AH38" s="24">
        <f t="shared" ref="AH38" si="52">+AG40</f>
        <v>1626350.8964124303</v>
      </c>
      <c r="AI38" s="24">
        <f t="shared" ref="AI38" si="53">+AH40</f>
        <v>2327430.5616593016</v>
      </c>
      <c r="AJ38" s="24">
        <f t="shared" ref="AJ38" si="54">+AI40</f>
        <v>2536303.0365202539</v>
      </c>
      <c r="AK38" s="24">
        <f t="shared" ref="AK38" si="55">+AJ40</f>
        <v>2478823.8878812534</v>
      </c>
      <c r="AL38" s="24">
        <f t="shared" ref="AL38" si="56">+AK40</f>
        <v>2248155.2407422196</v>
      </c>
      <c r="AM38" s="24">
        <f t="shared" ref="AM38" si="57">+AL40</f>
        <v>1956227.6688164934</v>
      </c>
      <c r="AN38" s="24">
        <f t="shared" ref="AN38" si="58">+AM40</f>
        <v>1710970.0630402744</v>
      </c>
      <c r="AO38" s="24">
        <f t="shared" ref="AO38" si="59">+AN40</f>
        <v>1738996.1502710928</v>
      </c>
      <c r="AP38" s="24">
        <f t="shared" ref="AP38" si="60">+AO40</f>
        <v>1812723.8270548475</v>
      </c>
      <c r="AQ38" s="24">
        <f>+AE38</f>
        <v>731684.51782054093</v>
      </c>
    </row>
    <row r="40" spans="1:43" ht="14" thickBot="1" x14ac:dyDescent="0.2">
      <c r="A40" s="54" t="s">
        <v>198</v>
      </c>
      <c r="C40" s="93">
        <f>+C36+C38</f>
        <v>1143470.389</v>
      </c>
      <c r="D40" s="93">
        <f>+D36+D38</f>
        <v>1340164.4255462058</v>
      </c>
      <c r="E40" s="93">
        <f t="shared" ref="E40:N40" si="61">+E36+E38</f>
        <v>1381503.8761351893</v>
      </c>
      <c r="F40" s="93">
        <f t="shared" si="61"/>
        <v>1024988.7435095583</v>
      </c>
      <c r="G40" s="93">
        <f t="shared" si="61"/>
        <v>1234819.9059533216</v>
      </c>
      <c r="H40" s="93">
        <f t="shared" si="61"/>
        <v>1445425.8640354241</v>
      </c>
      <c r="I40" s="93">
        <f t="shared" si="61"/>
        <v>1515778.6442452422</v>
      </c>
      <c r="J40" s="93">
        <f t="shared" si="61"/>
        <v>2053094.6956713095</v>
      </c>
      <c r="K40" s="93">
        <f t="shared" si="61"/>
        <v>1763674.0173960724</v>
      </c>
      <c r="L40" s="93">
        <f t="shared" si="61"/>
        <v>1470733.7778978171</v>
      </c>
      <c r="M40" s="93">
        <f t="shared" si="61"/>
        <v>1439566.1071089131</v>
      </c>
      <c r="N40" s="93">
        <f t="shared" si="61"/>
        <v>826312.49623657716</v>
      </c>
      <c r="O40" s="93">
        <f t="shared" ref="O40" si="62">+O36+O38</f>
        <v>826312.49623657693</v>
      </c>
      <c r="Q40" s="93">
        <f t="shared" ref="Q40:R40" si="63">+Q36+Q38</f>
        <v>975031.38908365916</v>
      </c>
      <c r="R40" s="93">
        <f t="shared" si="63"/>
        <v>1323411.58815437</v>
      </c>
      <c r="S40" s="93">
        <f t="shared" ref="S40:V40" si="64">+S36+S38</f>
        <v>1523479.5211072359</v>
      </c>
      <c r="T40" s="93">
        <f t="shared" si="64"/>
        <v>1335275.362557421</v>
      </c>
      <c r="U40" s="93">
        <f t="shared" si="64"/>
        <v>1176082.9516323688</v>
      </c>
      <c r="V40" s="93">
        <f t="shared" si="64"/>
        <v>1051408.7072631014</v>
      </c>
      <c r="W40" s="93">
        <f t="shared" ref="W40:AB40" si="65">+W36+W38</f>
        <v>1254187.5601169891</v>
      </c>
      <c r="X40" s="93">
        <f t="shared" si="65"/>
        <v>1165844.2396070855</v>
      </c>
      <c r="Y40" s="93">
        <f t="shared" si="65"/>
        <v>1133264.199644506</v>
      </c>
      <c r="Z40" s="93">
        <f t="shared" si="65"/>
        <v>560804.32780412817</v>
      </c>
      <c r="AA40" s="93">
        <f t="shared" si="65"/>
        <v>813696.70587757882</v>
      </c>
      <c r="AB40" s="93">
        <f t="shared" si="65"/>
        <v>731684.51782054093</v>
      </c>
      <c r="AC40" s="93">
        <f t="shared" ref="AC40" si="66">+AC36+AC38</f>
        <v>731684.51782054128</v>
      </c>
      <c r="AE40" s="93">
        <f t="shared" ref="AE40:AF40" si="67">+AE36+AE38</f>
        <v>376231.0724588437</v>
      </c>
      <c r="AF40" s="93">
        <f t="shared" si="67"/>
        <v>756785.29140220606</v>
      </c>
      <c r="AG40" s="93">
        <f t="shared" ref="AG40:AQ40" si="68">+AG36+AG38</f>
        <v>1626350.8964124303</v>
      </c>
      <c r="AH40" s="93">
        <f t="shared" si="68"/>
        <v>2327430.5616593016</v>
      </c>
      <c r="AI40" s="93">
        <f t="shared" si="68"/>
        <v>2536303.0365202539</v>
      </c>
      <c r="AJ40" s="93">
        <f t="shared" si="68"/>
        <v>2478823.8878812534</v>
      </c>
      <c r="AK40" s="93">
        <f t="shared" si="68"/>
        <v>2248155.2407422196</v>
      </c>
      <c r="AL40" s="93">
        <f t="shared" si="68"/>
        <v>1956227.6688164934</v>
      </c>
      <c r="AM40" s="93">
        <f t="shared" si="68"/>
        <v>1710970.0630402744</v>
      </c>
      <c r="AN40" s="93">
        <f t="shared" si="68"/>
        <v>1738996.1502710928</v>
      </c>
      <c r="AO40" s="93">
        <f t="shared" si="68"/>
        <v>1812723.8270548475</v>
      </c>
      <c r="AP40" s="93">
        <f t="shared" si="68"/>
        <v>1367252.2993387226</v>
      </c>
      <c r="AQ40" s="93">
        <f t="shared" si="68"/>
        <v>1367252.2993387226</v>
      </c>
    </row>
    <row r="41" spans="1:43" ht="14" thickTop="1" x14ac:dyDescent="0.15"/>
    <row r="43" spans="1:43" x14ac:dyDescent="0.15">
      <c r="A43" s="54" t="s">
        <v>199</v>
      </c>
      <c r="C43" s="31">
        <f>+'BS Actual &amp; Forecast'!C10</f>
        <v>1143470.5249999999</v>
      </c>
      <c r="D43" s="31">
        <f>+'BS Actual &amp; Forecast'!D10</f>
        <v>1340164.5615462058</v>
      </c>
      <c r="E43" s="31">
        <f>+'BS Actual &amp; Forecast'!E10</f>
        <v>1381504.0121351893</v>
      </c>
      <c r="F43" s="31">
        <f>+'BS Actual &amp; Forecast'!F10</f>
        <v>1024988.879509558</v>
      </c>
      <c r="G43" s="31">
        <f>+'BS Actual &amp; Forecast'!G10</f>
        <v>1234820.0419533211</v>
      </c>
      <c r="H43" s="31">
        <f>+'BS Actual &amp; Forecast'!H10</f>
        <v>1445426.0000354236</v>
      </c>
      <c r="I43" s="31">
        <f>+'BS Actual &amp; Forecast'!I10</f>
        <v>1515778.7802452419</v>
      </c>
      <c r="J43" s="31">
        <f>+'BS Actual &amp; Forecast'!J10</f>
        <v>2053094.8316713092</v>
      </c>
      <c r="K43" s="31">
        <f>+'BS Actual &amp; Forecast'!K10</f>
        <v>1763674.1533960719</v>
      </c>
      <c r="L43" s="31">
        <f>+'BS Actual &amp; Forecast'!L10</f>
        <v>1470733.9138978163</v>
      </c>
      <c r="M43" s="31">
        <f>+'BS Actual &amp; Forecast'!M10</f>
        <v>1439566.2431089126</v>
      </c>
      <c r="N43" s="31">
        <f>+'BS Actual &amp; Forecast'!N10</f>
        <v>826312.63223657687</v>
      </c>
      <c r="O43" s="31">
        <f>+N43</f>
        <v>826312.63223657687</v>
      </c>
      <c r="Q43" s="31">
        <f>+'BS Actual &amp; Forecast'!Q10</f>
        <v>975031.52508366399</v>
      </c>
      <c r="R43" s="31">
        <f>+'BS Actual &amp; Forecast'!R10</f>
        <v>1323411.724154375</v>
      </c>
      <c r="S43" s="31">
        <f>+'BS Actual &amp; Forecast'!S10</f>
        <v>1523479.6571072412</v>
      </c>
      <c r="T43" s="31">
        <f>+'BS Actual &amp; Forecast'!T10</f>
        <v>1335275.4985574265</v>
      </c>
      <c r="U43" s="31">
        <f>+'BS Actual &amp; Forecast'!U10</f>
        <v>1176083.0876323741</v>
      </c>
      <c r="V43" s="31">
        <f>+'BS Actual &amp; Forecast'!V10</f>
        <v>1051408.8432631069</v>
      </c>
      <c r="W43" s="31">
        <f>+'BS Actual &amp; Forecast'!W10</f>
        <v>1254187.6961169946</v>
      </c>
      <c r="X43" s="31">
        <f>+'BS Actual &amp; Forecast'!X10</f>
        <v>1165844.3756070908</v>
      </c>
      <c r="Y43" s="31">
        <f>+'BS Actual &amp; Forecast'!Y10</f>
        <v>1133264.3356445113</v>
      </c>
      <c r="Z43" s="31">
        <f>+'BS Actual &amp; Forecast'!Z10</f>
        <v>560804.4638041337</v>
      </c>
      <c r="AA43" s="31">
        <f>+'BS Actual &amp; Forecast'!AA10</f>
        <v>813696.84187758435</v>
      </c>
      <c r="AB43" s="31">
        <f>+'BS Actual &amp; Forecast'!AB10</f>
        <v>731684.65382054681</v>
      </c>
      <c r="AC43" s="31">
        <f>+AB43</f>
        <v>731684.65382054681</v>
      </c>
      <c r="AE43" s="31">
        <f>+'BS Actual &amp; Forecast'!AE10</f>
        <v>376231.20845885004</v>
      </c>
      <c r="AF43" s="31">
        <f>+'BS Actual &amp; Forecast'!AF10</f>
        <v>756785.42740221124</v>
      </c>
      <c r="AG43" s="31">
        <f>+'BS Actual &amp; Forecast'!AG10</f>
        <v>1626351.0324124354</v>
      </c>
      <c r="AH43" s="31">
        <f>+'BS Actual &amp; Forecast'!AH10</f>
        <v>2327430.6976593062</v>
      </c>
      <c r="AI43" s="31">
        <f>+'BS Actual &amp; Forecast'!AI10</f>
        <v>2536303.172520258</v>
      </c>
      <c r="AJ43" s="31">
        <f>+'BS Actual &amp; Forecast'!AJ10</f>
        <v>2478824.0238812566</v>
      </c>
      <c r="AK43" s="31">
        <f>+'BS Actual &amp; Forecast'!AK10</f>
        <v>2248155.3767422223</v>
      </c>
      <c r="AL43" s="31">
        <f>+'BS Actual &amp; Forecast'!AL10</f>
        <v>1956227.8048164956</v>
      </c>
      <c r="AM43" s="31">
        <f>+'BS Actual &amp; Forecast'!AM10</f>
        <v>1710970.1990402774</v>
      </c>
      <c r="AN43" s="31">
        <f>+'BS Actual &amp; Forecast'!AN10</f>
        <v>1738996.2862710957</v>
      </c>
      <c r="AO43" s="31">
        <f>+'BS Actual &amp; Forecast'!AO10</f>
        <v>1812723.9630548502</v>
      </c>
      <c r="AP43" s="31">
        <f>+'BS Actual &amp; Forecast'!AP10</f>
        <v>1367252.4353387253</v>
      </c>
      <c r="AQ43" s="31">
        <f>+AP43</f>
        <v>1367252.4353387253</v>
      </c>
    </row>
    <row r="44" spans="1:43" x14ac:dyDescent="0.15">
      <c r="A44" s="54" t="s">
        <v>200</v>
      </c>
      <c r="C44" s="23">
        <f>+C43-C40</f>
        <v>0.13599999994039536</v>
      </c>
      <c r="D44" s="23">
        <f>+D43-D40</f>
        <v>0.13599999994039536</v>
      </c>
      <c r="E44" s="23">
        <f t="shared" ref="E44:O44" si="69">+E43-E40</f>
        <v>0.13599999994039536</v>
      </c>
      <c r="F44" s="23">
        <f t="shared" si="69"/>
        <v>0.13599999970756471</v>
      </c>
      <c r="G44" s="23">
        <f t="shared" si="69"/>
        <v>0.13599999947473407</v>
      </c>
      <c r="H44" s="23">
        <f t="shared" si="69"/>
        <v>0.13599999947473407</v>
      </c>
      <c r="I44" s="23">
        <f t="shared" si="69"/>
        <v>0.13599999970756471</v>
      </c>
      <c r="J44" s="23">
        <f t="shared" si="69"/>
        <v>0.13599999970756471</v>
      </c>
      <c r="K44" s="23">
        <f t="shared" si="69"/>
        <v>0.13599999947473407</v>
      </c>
      <c r="L44" s="23">
        <f t="shared" si="69"/>
        <v>0.13599999924190342</v>
      </c>
      <c r="M44" s="23">
        <f t="shared" si="69"/>
        <v>0.13599999947473407</v>
      </c>
      <c r="N44" s="23">
        <f t="shared" si="69"/>
        <v>0.13599999970756471</v>
      </c>
      <c r="O44" s="23">
        <f t="shared" si="69"/>
        <v>0.13599999994039536</v>
      </c>
      <c r="Q44" s="23">
        <f t="shared" ref="Q44:R44" si="70">+Q43-Q40</f>
        <v>0.13600000482983887</v>
      </c>
      <c r="R44" s="23">
        <f t="shared" si="70"/>
        <v>0.13600000506266952</v>
      </c>
      <c r="S44" s="23">
        <f t="shared" ref="S44" si="71">+S43-S40</f>
        <v>0.13600000529550016</v>
      </c>
      <c r="T44" s="23">
        <f t="shared" ref="T44" si="72">+T43-T40</f>
        <v>0.1360000055283308</v>
      </c>
      <c r="U44" s="23">
        <f t="shared" ref="U44" si="73">+U43-U40</f>
        <v>0.13600000529550016</v>
      </c>
      <c r="V44" s="23">
        <f t="shared" ref="V44:AB44" si="74">+V43-V40</f>
        <v>0.1360000055283308</v>
      </c>
      <c r="W44" s="23">
        <f t="shared" si="74"/>
        <v>0.1360000055283308</v>
      </c>
      <c r="X44" s="23">
        <f t="shared" si="74"/>
        <v>0.13600000529550016</v>
      </c>
      <c r="Y44" s="23">
        <f t="shared" si="74"/>
        <v>0.13600000529550016</v>
      </c>
      <c r="Z44" s="23">
        <f t="shared" si="74"/>
        <v>0.1360000055283308</v>
      </c>
      <c r="AA44" s="23">
        <f t="shared" si="74"/>
        <v>0.1360000055283308</v>
      </c>
      <c r="AB44" s="23">
        <f t="shared" si="74"/>
        <v>0.13600000587757677</v>
      </c>
      <c r="AC44" s="23">
        <f t="shared" ref="AC44" si="75">+AC43-AC40</f>
        <v>0.1360000055283308</v>
      </c>
      <c r="AE44" s="23">
        <f t="shared" ref="AE44:AF44" si="76">+AE43-AE40</f>
        <v>0.13600000634323806</v>
      </c>
      <c r="AF44" s="23">
        <f t="shared" si="76"/>
        <v>0.13600000517908484</v>
      </c>
      <c r="AG44" s="23">
        <f t="shared" ref="AG44:AQ44" si="77">+AG43-AG40</f>
        <v>0.13600000506266952</v>
      </c>
      <c r="AH44" s="23">
        <f t="shared" si="77"/>
        <v>0.13600000459700823</v>
      </c>
      <c r="AI44" s="23">
        <f t="shared" si="77"/>
        <v>0.13600000413134694</v>
      </c>
      <c r="AJ44" s="23">
        <f t="shared" si="77"/>
        <v>0.13600000320002437</v>
      </c>
      <c r="AK44" s="23">
        <f t="shared" si="77"/>
        <v>0.13600000273436308</v>
      </c>
      <c r="AL44" s="23">
        <f t="shared" si="77"/>
        <v>0.13600000226870179</v>
      </c>
      <c r="AM44" s="23">
        <f t="shared" si="77"/>
        <v>0.13600000296719372</v>
      </c>
      <c r="AN44" s="23">
        <f t="shared" si="77"/>
        <v>0.13600000296719372</v>
      </c>
      <c r="AO44" s="23">
        <f t="shared" si="77"/>
        <v>0.13600000273436308</v>
      </c>
      <c r="AP44" s="23">
        <f t="shared" si="77"/>
        <v>0.13600000273436308</v>
      </c>
      <c r="AQ44" s="23">
        <f t="shared" si="77"/>
        <v>0.13600000273436308</v>
      </c>
    </row>
    <row r="47" spans="1:43" x14ac:dyDescent="0.15">
      <c r="A47" t="s">
        <v>204</v>
      </c>
      <c r="O47" s="33">
        <f>-O31/O9</f>
        <v>0.88483048757135652</v>
      </c>
      <c r="AC47" s="33">
        <f>-AC31/AC9</f>
        <v>0.41481081768907541</v>
      </c>
      <c r="AQ47" s="33">
        <f>-AQ31/AQ9</f>
        <v>0.61732107543089343</v>
      </c>
    </row>
  </sheetData>
  <pageMargins left="0.7" right="0.7" top="0.75" bottom="0.75" header="0.3" footer="0.3"/>
  <pageSetup scale="52" orientation="landscape"/>
  <colBreaks count="2" manualBreakCount="2">
    <brk id="16" max="43" man="1"/>
    <brk id="29" max="43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Q27"/>
  <sheetViews>
    <sheetView workbookViewId="0">
      <pane xSplit="2" ySplit="7" topLeftCell="C8" activePane="bottomRight" state="frozen"/>
      <selection activeCell="AA48" sqref="AA48"/>
      <selection pane="topRight" activeCell="AA48" sqref="AA48"/>
      <selection pane="bottomLeft" activeCell="AA48" sqref="AA48"/>
      <selection pane="bottomRight" activeCell="H34" sqref="H34"/>
    </sheetView>
  </sheetViews>
  <sheetFormatPr baseColWidth="10" defaultColWidth="8.83203125" defaultRowHeight="13" outlineLevelCol="1" x14ac:dyDescent="0.15"/>
  <cols>
    <col min="1" max="1" width="40.6640625" customWidth="1"/>
    <col min="2" max="2" width="4.83203125" customWidth="1"/>
    <col min="3" max="3" width="12.5" customWidth="1" outlineLevel="1"/>
    <col min="4" max="4" width="11.6640625" customWidth="1" outlineLevel="1"/>
    <col min="5" max="7" width="11.33203125" customWidth="1" outlineLevel="1"/>
    <col min="8" max="8" width="11.1640625" customWidth="1" outlineLevel="1"/>
    <col min="9" max="14" width="11.33203125" customWidth="1" outlineLevel="1"/>
    <col min="15" max="15" width="11.5" customWidth="1"/>
    <col min="16" max="16" width="2.5" customWidth="1"/>
    <col min="17" max="18" width="11.83203125" customWidth="1" outlineLevel="1"/>
    <col min="19" max="21" width="11.33203125" customWidth="1" outlineLevel="1"/>
    <col min="22" max="22" width="11" customWidth="1" outlineLevel="1"/>
    <col min="23" max="23" width="11.33203125" customWidth="1" outlineLevel="1"/>
    <col min="24" max="28" width="11.1640625" customWidth="1" outlineLevel="1"/>
    <col min="29" max="29" width="11.6640625" customWidth="1"/>
    <col min="30" max="30" width="2.83203125" customWidth="1"/>
    <col min="31" max="31" width="9.5" customWidth="1" outlineLevel="1"/>
    <col min="32" max="35" width="11.1640625" customWidth="1" outlineLevel="1"/>
    <col min="36" max="37" width="11.5" customWidth="1" outlineLevel="1"/>
    <col min="38" max="42" width="11.1640625" customWidth="1" outlineLevel="1"/>
    <col min="43" max="43" width="11.1640625" bestFit="1" customWidth="1"/>
  </cols>
  <sheetData>
    <row r="1" spans="1:43" x14ac:dyDescent="0.15">
      <c r="A1" s="1" t="str">
        <f>+'IS Actual &amp; Forecast'!A1</f>
        <v>ABC Construction Company</v>
      </c>
    </row>
    <row r="2" spans="1:43" ht="20" x14ac:dyDescent="0.2">
      <c r="A2" s="2" t="s">
        <v>210</v>
      </c>
      <c r="H2" s="38" t="s">
        <v>82</v>
      </c>
      <c r="V2" s="38" t="s">
        <v>84</v>
      </c>
      <c r="AJ2" s="38" t="s">
        <v>90</v>
      </c>
    </row>
    <row r="6" spans="1:43" x14ac:dyDescent="0.15"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  <c r="W6" s="47" t="s">
        <v>99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 t="s">
        <v>99</v>
      </c>
      <c r="AD6" s="36"/>
      <c r="AE6" s="47" t="s">
        <v>99</v>
      </c>
      <c r="AF6" s="47" t="s">
        <v>99</v>
      </c>
      <c r="AG6" s="47" t="s">
        <v>99</v>
      </c>
      <c r="AH6" s="47" t="s">
        <v>99</v>
      </c>
      <c r="AI6" s="47" t="s">
        <v>99</v>
      </c>
      <c r="AJ6" s="47" t="s">
        <v>99</v>
      </c>
      <c r="AK6" s="47" t="s">
        <v>99</v>
      </c>
      <c r="AL6" s="47" t="s">
        <v>99</v>
      </c>
      <c r="AM6" s="47" t="s">
        <v>99</v>
      </c>
      <c r="AN6" s="47" t="s">
        <v>99</v>
      </c>
      <c r="AO6" s="47" t="s">
        <v>99</v>
      </c>
      <c r="AP6" s="47" t="s">
        <v>99</v>
      </c>
      <c r="AQ6" s="47" t="s">
        <v>99</v>
      </c>
    </row>
    <row r="7" spans="1:43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94" t="s">
        <v>84</v>
      </c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  <c r="AQ7" s="94" t="s">
        <v>90</v>
      </c>
    </row>
    <row r="8" spans="1:43" x14ac:dyDescent="0.15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</row>
    <row r="9" spans="1:43" x14ac:dyDescent="0.15">
      <c r="A9" t="s">
        <v>13</v>
      </c>
      <c r="C9" s="51">
        <f>+'GAAP CF Act &amp; Forecast'!C38</f>
        <v>1245444</v>
      </c>
      <c r="D9" s="51">
        <f>+'GAAP CF Act &amp; Forecast'!D38</f>
        <v>1143470.389</v>
      </c>
      <c r="E9" s="51">
        <f>+'GAAP CF Act &amp; Forecast'!E38</f>
        <v>1340164.4255462058</v>
      </c>
      <c r="F9" s="51">
        <f>+'GAAP CF Act &amp; Forecast'!F38</f>
        <v>1381503.8761351893</v>
      </c>
      <c r="G9" s="51">
        <f>+'GAAP CF Act &amp; Forecast'!G38</f>
        <v>1024988.7435095583</v>
      </c>
      <c r="H9" s="51">
        <f>+'GAAP CF Act &amp; Forecast'!H38</f>
        <v>1234819.9059533216</v>
      </c>
      <c r="I9" s="51">
        <f>+'GAAP CF Act &amp; Forecast'!I38</f>
        <v>1445425.8640354241</v>
      </c>
      <c r="J9" s="51">
        <f>+'GAAP CF Act &amp; Forecast'!J38</f>
        <v>1515778.6442452422</v>
      </c>
      <c r="K9" s="51">
        <f>+'GAAP CF Act &amp; Forecast'!K38</f>
        <v>2053094.6956713095</v>
      </c>
      <c r="L9" s="51">
        <f>+'GAAP CF Act &amp; Forecast'!L38</f>
        <v>1763674.0173960724</v>
      </c>
      <c r="M9" s="51">
        <f>+'GAAP CF Act &amp; Forecast'!M38</f>
        <v>1470733.7778978171</v>
      </c>
      <c r="N9" s="51">
        <f>+'GAAP CF Act &amp; Forecast'!N38</f>
        <v>1439566.1071089131</v>
      </c>
      <c r="O9" s="56">
        <f>+C9</f>
        <v>1245444</v>
      </c>
      <c r="Q9" s="51">
        <f>+'GAAP CF Act &amp; Forecast'!Q38</f>
        <v>826312.49623657716</v>
      </c>
      <c r="R9" s="51">
        <f>+'GAAP CF Act &amp; Forecast'!R38</f>
        <v>975031.38908365916</v>
      </c>
      <c r="S9" s="51">
        <f>+'GAAP CF Act &amp; Forecast'!S38</f>
        <v>1323411.58815437</v>
      </c>
      <c r="T9" s="51">
        <f>+'GAAP CF Act &amp; Forecast'!T38</f>
        <v>1523479.5211072359</v>
      </c>
      <c r="U9" s="51">
        <f>+'GAAP CF Act &amp; Forecast'!U38</f>
        <v>1335275.362557421</v>
      </c>
      <c r="V9" s="51">
        <f>+'GAAP CF Act &amp; Forecast'!V38</f>
        <v>1176082.9516323688</v>
      </c>
      <c r="W9" s="51">
        <f>+'GAAP CF Act &amp; Forecast'!W38</f>
        <v>1051408.7072631014</v>
      </c>
      <c r="X9" s="51">
        <f>+'GAAP CF Act &amp; Forecast'!X38</f>
        <v>1254187.5601169891</v>
      </c>
      <c r="Y9" s="51">
        <f>+'GAAP CF Act &amp; Forecast'!Y38</f>
        <v>1165844.2396070855</v>
      </c>
      <c r="Z9" s="51">
        <f>+'GAAP CF Act &amp; Forecast'!Z38</f>
        <v>1133264.199644506</v>
      </c>
      <c r="AA9" s="51">
        <f>+'GAAP CF Act &amp; Forecast'!AA38</f>
        <v>560804.32780412817</v>
      </c>
      <c r="AB9" s="51">
        <f>+'GAAP CF Act &amp; Forecast'!AB38</f>
        <v>813696.70587757882</v>
      </c>
      <c r="AC9" s="56">
        <f>+Q9</f>
        <v>826312.49623657716</v>
      </c>
      <c r="AE9" s="51">
        <f>+'GAAP CF Act &amp; Forecast'!AE38</f>
        <v>731684.51782054093</v>
      </c>
      <c r="AF9" s="51">
        <f>+'GAAP CF Act &amp; Forecast'!AF38</f>
        <v>376231.0724588437</v>
      </c>
      <c r="AG9" s="51">
        <f>+'GAAP CF Act &amp; Forecast'!AG38</f>
        <v>756785.29140220606</v>
      </c>
      <c r="AH9" s="51">
        <f>+'GAAP CF Act &amp; Forecast'!AH38</f>
        <v>1626350.8964124303</v>
      </c>
      <c r="AI9" s="51">
        <f>+'GAAP CF Act &amp; Forecast'!AI38</f>
        <v>2327430.5616593016</v>
      </c>
      <c r="AJ9" s="51">
        <f>+'GAAP CF Act &amp; Forecast'!AJ38</f>
        <v>2536303.0365202539</v>
      </c>
      <c r="AK9" s="51">
        <f>+'GAAP CF Act &amp; Forecast'!AK38</f>
        <v>2478823.8878812534</v>
      </c>
      <c r="AL9" s="51">
        <f>+'GAAP CF Act &amp; Forecast'!AL38</f>
        <v>2248155.2407422196</v>
      </c>
      <c r="AM9" s="51">
        <f>+'GAAP CF Act &amp; Forecast'!AM38</f>
        <v>1956227.6688164934</v>
      </c>
      <c r="AN9" s="51">
        <f>+'GAAP CF Act &amp; Forecast'!AN38</f>
        <v>1710970.0630402744</v>
      </c>
      <c r="AO9" s="51">
        <f>+'GAAP CF Act &amp; Forecast'!AO38</f>
        <v>1738996.1502710928</v>
      </c>
      <c r="AP9" s="51">
        <f>+'GAAP CF Act &amp; Forecast'!AP38</f>
        <v>1812723.8270548475</v>
      </c>
      <c r="AQ9" s="56">
        <f>+AE9</f>
        <v>731684.51782054093</v>
      </c>
    </row>
    <row r="10" spans="1:43" x14ac:dyDescent="0.15"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</row>
    <row r="11" spans="1:43" x14ac:dyDescent="0.15">
      <c r="A11" s="54" t="s">
        <v>183</v>
      </c>
      <c r="C11" s="23">
        <f>+'GAAP CF Act &amp; Forecast'!C9</f>
        <v>112718.38900000005</v>
      </c>
      <c r="D11" s="23">
        <f>+'GAAP CF Act &amp; Forecast'!D9</f>
        <v>174849.99420000016</v>
      </c>
      <c r="E11" s="23">
        <f>+'GAAP CF Act &amp; Forecast'!E9</f>
        <v>129872.47371085733</v>
      </c>
      <c r="F11" s="23">
        <f>+'GAAP CF Act &amp; Forecast'!F9</f>
        <v>65884.611169058568</v>
      </c>
      <c r="G11" s="23">
        <f>+'GAAP CF Act &amp; Forecast'!G9</f>
        <v>107686.05107013127</v>
      </c>
      <c r="H11" s="23">
        <f>+'GAAP CF Act &amp; Forecast'!H9</f>
        <v>167715.50164606649</v>
      </c>
      <c r="I11" s="23">
        <f>+'GAAP CF Act &amp; Forecast'!I9</f>
        <v>174792.14306393373</v>
      </c>
      <c r="J11" s="23">
        <f>+'GAAP CF Act &amp; Forecast'!J9</f>
        <v>182771.09773868279</v>
      </c>
      <c r="K11" s="23">
        <f>+'GAAP CF Act &amp; Forecast'!K9</f>
        <v>145053.73950084602</v>
      </c>
      <c r="L11" s="23">
        <f>+'GAAP CF Act &amp; Forecast'!L9</f>
        <v>60503.635878823996</v>
      </c>
      <c r="M11" s="23">
        <f>+'GAAP CF Act &amp; Forecast'!M9</f>
        <v>110938.43898937415</v>
      </c>
      <c r="N11" s="23">
        <f>+'GAAP CF Act &amp; Forecast'!N9</f>
        <v>64675.888342249709</v>
      </c>
      <c r="O11" s="23">
        <f>SUM(C11:N11)</f>
        <v>1497461.9643100242</v>
      </c>
      <c r="Q11" s="23">
        <f>+'GAAP CF Act &amp; Forecast'!Q9</f>
        <v>125792.02647521088</v>
      </c>
      <c r="R11" s="23">
        <f>+'GAAP CF Act &amp; Forecast'!R9</f>
        <v>237266.60261000015</v>
      </c>
      <c r="S11" s="23">
        <f>+'GAAP CF Act &amp; Forecast'!S9</f>
        <v>161140.48813239767</v>
      </c>
      <c r="T11" s="23">
        <f>+'GAAP CF Act &amp; Forecast'!T9</f>
        <v>67797.717478498816</v>
      </c>
      <c r="U11" s="23">
        <f>+'GAAP CF Act &amp; Forecast'!U9</f>
        <v>77122.465164527268</v>
      </c>
      <c r="V11" s="23">
        <f>+'GAAP CF Act &amp; Forecast'!V9</f>
        <v>41165.317365626812</v>
      </c>
      <c r="W11" s="23">
        <f>+'GAAP CF Act &amp; Forecast'!W9</f>
        <v>97204.81770344649</v>
      </c>
      <c r="X11" s="23">
        <f>+'GAAP CF Act &amp; Forecast'!X9</f>
        <v>171818.13780016906</v>
      </c>
      <c r="Y11" s="23">
        <f>+'GAAP CF Act &amp; Forecast'!Y9</f>
        <v>227962.06306323354</v>
      </c>
      <c r="Z11" s="23">
        <f>+'GAAP CF Act &amp; Forecast'!Z9</f>
        <v>195551.16125062638</v>
      </c>
      <c r="AA11" s="23">
        <f>+'GAAP CF Act &amp; Forecast'!AA9</f>
        <v>167234.01682226424</v>
      </c>
      <c r="AB11" s="23">
        <f>+'GAAP CF Act &amp; Forecast'!AB9</f>
        <v>117461.4469193916</v>
      </c>
      <c r="AC11" s="23">
        <f>SUM(Q11:AB11)</f>
        <v>1687516.2607853932</v>
      </c>
      <c r="AE11" s="23">
        <f>+'GAAP CF Act &amp; Forecast'!AE9</f>
        <v>252739.75504584351</v>
      </c>
      <c r="AF11" s="23">
        <f>+'GAAP CF Act &amp; Forecast'!AF9</f>
        <v>367474.97207182692</v>
      </c>
      <c r="AG11" s="23">
        <f>+'GAAP CF Act &amp; Forecast'!AG9</f>
        <v>182000.0086267603</v>
      </c>
      <c r="AH11" s="23">
        <f>+'GAAP CF Act &amp; Forecast'!AH9</f>
        <v>104878.61642240657</v>
      </c>
      <c r="AI11" s="23">
        <f>+'GAAP CF Act &amp; Forecast'!AI9</f>
        <v>120177.37566109208</v>
      </c>
      <c r="AJ11" s="23">
        <f>+'GAAP CF Act &amp; Forecast'!AJ9</f>
        <v>132181.38763106024</v>
      </c>
      <c r="AK11" s="23">
        <f>+'GAAP CF Act &amp; Forecast'!AK9</f>
        <v>184154.93487296515</v>
      </c>
      <c r="AL11" s="23">
        <f>+'GAAP CF Act &amp; Forecast'!AL9</f>
        <v>280095.53656407085</v>
      </c>
      <c r="AM11" s="23">
        <f>+'GAAP CF Act &amp; Forecast'!AM9</f>
        <v>281838.02449152718</v>
      </c>
      <c r="AN11" s="23">
        <f>+'GAAP CF Act &amp; Forecast'!AN9</f>
        <v>233716.47057947097</v>
      </c>
      <c r="AO11" s="23">
        <f>+'GAAP CF Act &amp; Forecast'!AO9</f>
        <v>185722.49424774354</v>
      </c>
      <c r="AP11" s="23">
        <f>+'GAAP CF Act &amp; Forecast'!AP9</f>
        <v>104874.28703296333</v>
      </c>
      <c r="AQ11" s="23">
        <f>SUM(AE11:AP11)</f>
        <v>2429853.8632477303</v>
      </c>
    </row>
    <row r="12" spans="1:43" x14ac:dyDescent="0.15">
      <c r="A12" t="s">
        <v>59</v>
      </c>
      <c r="C12" s="23">
        <f>+'GAAP CF Act &amp; Forecast'!C13</f>
        <v>-15679</v>
      </c>
      <c r="D12" s="23">
        <f>+'GAAP CF Act &amp; Forecast'!D13</f>
        <v>21375.816000000108</v>
      </c>
      <c r="E12" s="23">
        <f>+'GAAP CF Act &amp; Forecast'!E13</f>
        <v>-43606.66464000009</v>
      </c>
      <c r="F12" s="23">
        <f>+'GAAP CF Act &amp; Forecast'!F13</f>
        <v>51831.297172800172</v>
      </c>
      <c r="G12" s="23">
        <f>+'GAAP CF Act &amp; Forecast'!G13</f>
        <v>39743.114152896218</v>
      </c>
      <c r="H12" s="23">
        <f>+'GAAP CF Act &amp; Forecast'!H13</f>
        <v>-43717.425568185747</v>
      </c>
      <c r="I12" s="23">
        <f>+'GAAP CF Act &amp; Forecast'!I13</f>
        <v>62297.331434664316</v>
      </c>
      <c r="J12" s="23">
        <f>+'GAAP CF Act &amp; Forecast'!J13</f>
        <v>-74414.010000000242</v>
      </c>
      <c r="K12" s="23">
        <f>+'GAAP CF Act &amp; Forecast'!K13</f>
        <v>-42985.158689918462</v>
      </c>
      <c r="L12" s="23">
        <f>+'GAAP CF Act &amp; Forecast'!L13</f>
        <v>-37826.93964712834</v>
      </c>
      <c r="M12" s="23">
        <f>+'GAAP CF Act &amp; Forecast'!M13</f>
        <v>53903.38899715757</v>
      </c>
      <c r="N12" s="23">
        <f>+'GAAP CF Act &amp; Forecast'!N13</f>
        <v>44598.558447015472</v>
      </c>
      <c r="O12" s="35">
        <f t="shared" ref="O12:O16" si="0">SUM(C12:N12)</f>
        <v>15520.307659300976</v>
      </c>
      <c r="Q12" s="23">
        <f>+'GAAP CF Act &amp; Forecast'!Q13</f>
        <v>64166.251377704553</v>
      </c>
      <c r="R12" s="23">
        <f>+'GAAP CF Act &amp; Forecast'!R13</f>
        <v>-76646.430300000124</v>
      </c>
      <c r="S12" s="23">
        <f>+'GAAP CF Act &amp; Forecast'!S13</f>
        <v>-44274.713450616226</v>
      </c>
      <c r="T12" s="23">
        <f>+'GAAP CF Act &amp; Forecast'!T13</f>
        <v>-38961.747836542316</v>
      </c>
      <c r="U12" s="23">
        <f>+'GAAP CF Act &amp; Forecast'!U13</f>
        <v>55520.49066707259</v>
      </c>
      <c r="V12" s="23">
        <f>+'GAAP CF Act &amp; Forecast'!V13</f>
        <v>245936.82665246399</v>
      </c>
      <c r="W12" s="23">
        <f>+'GAAP CF Act &amp; Forecast'!W13</f>
        <v>240411.98962096637</v>
      </c>
      <c r="X12" s="23">
        <f>+'GAAP CF Act &amp; Forecast'!X13</f>
        <v>-637257.43080268707</v>
      </c>
      <c r="Y12" s="23">
        <f>+'GAAP CF Act &amp; Forecast'!Y13</f>
        <v>-638073.33135348978</v>
      </c>
      <c r="Z12" s="23">
        <f>+'GAAP CF Act &amp; Forecast'!Z13</f>
        <v>-911662.85684260633</v>
      </c>
      <c r="AA12" s="23">
        <f>+'GAAP CF Act &amp; Forecast'!AA13</f>
        <v>177590.79506302625</v>
      </c>
      <c r="AB12" s="23">
        <f>+'GAAP CF Act &amp; Forecast'!AB13</f>
        <v>44602.215731172822</v>
      </c>
      <c r="AC12" s="43">
        <f t="shared" ref="AC12:AC16" si="1">SUM(Q12:AB12)</f>
        <v>-1518647.9414735353</v>
      </c>
      <c r="AE12" s="23">
        <f>+'GAAP CF Act &amp; Forecast'!AE13</f>
        <v>-130414.05253420305</v>
      </c>
      <c r="AF12" s="23">
        <f>+'GAAP CF Act &amp; Forecast'!AF13</f>
        <v>-1502265.4722760897</v>
      </c>
      <c r="AG12" s="23">
        <f>+'GAAP CF Act &amp; Forecast'!AG13</f>
        <v>1106106.6849849559</v>
      </c>
      <c r="AH12" s="23">
        <f>+'GAAP CF Act &amp; Forecast'!AH13</f>
        <v>1607675.242613113</v>
      </c>
      <c r="AI12" s="23">
        <f>+'GAAP CF Act &amp; Forecast'!AI13</f>
        <v>387732.41733038938</v>
      </c>
      <c r="AJ12" s="23">
        <f>+'GAAP CF Act &amp; Forecast'!AJ13</f>
        <v>-144397.69110941328</v>
      </c>
      <c r="AK12" s="23">
        <f>+'GAAP CF Act &amp; Forecast'!AK13</f>
        <v>-301306.14099108055</v>
      </c>
      <c r="AL12" s="23">
        <f>+'GAAP CF Act &amp; Forecast'!AL13</f>
        <v>-700554.60482064961</v>
      </c>
      <c r="AM12" s="23">
        <f>+'GAAP CF Act &amp; Forecast'!AM13</f>
        <v>-459610.45689564245</v>
      </c>
      <c r="AN12" s="23">
        <f>+'GAAP CF Act &amp; Forecast'!AN13</f>
        <v>228660.93461561669</v>
      </c>
      <c r="AO12" s="23">
        <f>+'GAAP CF Act &amp; Forecast'!AO13</f>
        <v>466264.87840860616</v>
      </c>
      <c r="AP12" s="23">
        <f>+'GAAP CF Act &amp; Forecast'!AP13</f>
        <v>622599.46711072791</v>
      </c>
      <c r="AQ12" s="35">
        <f t="shared" ref="AQ12:AQ16" si="2">SUM(AE12:AP12)</f>
        <v>1180491.2064363305</v>
      </c>
    </row>
    <row r="13" spans="1:43" x14ac:dyDescent="0.15">
      <c r="A13" t="s">
        <v>103</v>
      </c>
      <c r="C13" s="23">
        <f>+'GAAP CF Act &amp; Forecast'!C17</f>
        <v>-18902</v>
      </c>
      <c r="D13" s="23">
        <f>+'GAAP CF Act &amp; Forecast'!D17</f>
        <v>129477.56565420562</v>
      </c>
      <c r="E13" s="23">
        <f>+'GAAP CF Act &amp; Forecast'!E17</f>
        <v>64978.847614486236</v>
      </c>
      <c r="F13" s="23">
        <f>+'GAAP CF Act &amp; Forecast'!F17</f>
        <v>-370792.07037153607</v>
      </c>
      <c r="G13" s="23">
        <f>+'GAAP CF Act &amp; Forecast'!G17</f>
        <v>196277.57846143865</v>
      </c>
      <c r="H13" s="23">
        <f>+'GAAP CF Act &amp; Forecast'!H17</f>
        <v>159366.00823093345</v>
      </c>
      <c r="I13" s="23">
        <f>+'GAAP CF Act &amp; Forecast'!I17</f>
        <v>-110006.81401496404</v>
      </c>
      <c r="J13" s="23">
        <f>+'GAAP CF Act &amp; Forecast'!J17</f>
        <v>393834.65996322362</v>
      </c>
      <c r="K13" s="23">
        <f>+'GAAP CF Act &amp; Forecast'!K17</f>
        <v>-306339.40131926979</v>
      </c>
      <c r="L13" s="23">
        <f>+'GAAP CF Act &amp; Forecast'!L17</f>
        <v>-173062.719808341</v>
      </c>
      <c r="M13" s="23">
        <f>+'GAAP CF Act &amp; Forecast'!M17</f>
        <v>-128891.68156349612</v>
      </c>
      <c r="N13" s="23">
        <f>+'GAAP CF Act &amp; Forecast'!N17</f>
        <v>-273229.59902129997</v>
      </c>
      <c r="O13" s="35">
        <f t="shared" si="0"/>
        <v>-437289.62617461942</v>
      </c>
      <c r="Q13" s="23">
        <f>+'GAAP CF Act &amp; Forecast'!Q17</f>
        <v>75437</v>
      </c>
      <c r="R13" s="23">
        <f>+'GAAP CF Act &amp; Forecast'!R17</f>
        <v>268998</v>
      </c>
      <c r="S13" s="23">
        <f>+'GAAP CF Act &amp; Forecast'!S17</f>
        <v>167333</v>
      </c>
      <c r="T13" s="23">
        <f>+'GAAP CF Act &amp; Forecast'!T17</f>
        <v>-155665.79867836041</v>
      </c>
      <c r="U13" s="23">
        <f>+'GAAP CF Act &amp; Forecast'!U17</f>
        <v>-125285.17865384417</v>
      </c>
      <c r="V13" s="23">
        <f>+'GAAP CF Act &amp; Forecast'!V17</f>
        <v>-252532.97627001954</v>
      </c>
      <c r="W13" s="23">
        <f>+'GAAP CF Act &amp; Forecast'!W17</f>
        <v>27713.023662588559</v>
      </c>
      <c r="X13" s="23">
        <f>+'GAAP CF Act &amp; Forecast'!X17</f>
        <v>315122.61806957284</v>
      </c>
      <c r="Y13" s="23">
        <f>+'GAAP CF Act &amp; Forecast'!Y17</f>
        <v>315543.471339104</v>
      </c>
      <c r="Z13" s="23">
        <f>+'GAAP CF Act &amp; Forecast'!Z17</f>
        <v>140224.09959348384</v>
      </c>
      <c r="AA13" s="23">
        <f>+'GAAP CF Act &amp; Forecast'!AA17</f>
        <v>-64459.550265631871</v>
      </c>
      <c r="AB13" s="23">
        <f>+'GAAP CF Act &amp; Forecast'!AB17</f>
        <v>-192272.42472820706</v>
      </c>
      <c r="AC13" s="43">
        <f t="shared" si="1"/>
        <v>520155.28406868619</v>
      </c>
      <c r="AE13" s="23">
        <f>+'GAAP CF Act &amp; Forecast'!AE17</f>
        <v>-601177.48872911022</v>
      </c>
      <c r="AF13" s="23">
        <f>+'GAAP CF Act &amp; Forecast'!AF17</f>
        <v>1477777.628014944</v>
      </c>
      <c r="AG13" s="23">
        <f>+'GAAP CF Act &amp; Forecast'!AG17</f>
        <v>-247946.3662823285</v>
      </c>
      <c r="AH13" s="23">
        <f>+'GAAP CF Act &amp; Forecast'!AH17</f>
        <v>-741344.74378181319</v>
      </c>
      <c r="AI13" s="23">
        <f>+'GAAP CF Act &amp; Forecast'!AI17</f>
        <v>-155304.51161020016</v>
      </c>
      <c r="AJ13" s="23">
        <f>+'GAAP CF Act &amp; Forecast'!AJ17</f>
        <v>72638.491323572583</v>
      </c>
      <c r="AK13" s="23">
        <f>+'GAAP CF Act &amp; Forecast'!AK17</f>
        <v>148972.92781835538</v>
      </c>
      <c r="AL13" s="23">
        <f>+'GAAP CF Act &amp; Forecast'!AL17</f>
        <v>346510.30387712712</v>
      </c>
      <c r="AM13" s="23">
        <f>+'GAAP CF Act &amp; Forecast'!AM17</f>
        <v>227356.10499167047</v>
      </c>
      <c r="AN13" s="23">
        <f>+'GAAP CF Act &amp; Forecast'!AN17</f>
        <v>-112775.78260270506</v>
      </c>
      <c r="AO13" s="23">
        <f>+'GAAP CF Act &amp; Forecast'!AO17</f>
        <v>-230194.08361466788</v>
      </c>
      <c r="AP13" s="23">
        <f>+'GAAP CF Act &amp; Forecast'!AP17</f>
        <v>-307450.18080565729</v>
      </c>
      <c r="AQ13" s="35">
        <f t="shared" si="2"/>
        <v>-122937.70140081272</v>
      </c>
    </row>
    <row r="14" spans="1:43" x14ac:dyDescent="0.15">
      <c r="A14" t="s">
        <v>208</v>
      </c>
      <c r="C14" s="23">
        <f>+'GAAP CF Act &amp; Forecast'!C31</f>
        <v>-175000</v>
      </c>
      <c r="D14" s="23">
        <f>+'GAAP CF Act &amp; Forecast'!D31</f>
        <v>-75000</v>
      </c>
      <c r="E14" s="23">
        <f>+'GAAP CF Act &amp; Forecast'!E31</f>
        <v>-75000</v>
      </c>
      <c r="F14" s="23">
        <f>+'GAAP CF Act &amp; Forecast'!F31</f>
        <v>-75000</v>
      </c>
      <c r="G14" s="23">
        <f>+'GAAP CF Act &amp; Forecast'!G31</f>
        <v>-75000</v>
      </c>
      <c r="H14" s="23">
        <f>+'GAAP CF Act &amp; Forecast'!H31</f>
        <v>-75000</v>
      </c>
      <c r="I14" s="23">
        <f>+'GAAP CF Act &amp; Forecast'!I31</f>
        <v>-75000</v>
      </c>
      <c r="J14" s="23">
        <f>+'GAAP CF Act &amp; Forecast'!J31</f>
        <v>-75000</v>
      </c>
      <c r="K14" s="23">
        <f>+'GAAP CF Act &amp; Forecast'!K31</f>
        <v>-75000</v>
      </c>
      <c r="L14" s="23">
        <f>+'GAAP CF Act &amp; Forecast'!L31</f>
        <v>-75000</v>
      </c>
      <c r="M14" s="23">
        <f>+'GAAP CF Act &amp; Forecast'!M31</f>
        <v>-75000</v>
      </c>
      <c r="N14" s="23">
        <f>+'GAAP CF Act &amp; Forecast'!N31</f>
        <v>-400000</v>
      </c>
      <c r="O14" s="35">
        <f t="shared" si="0"/>
        <v>-1325000</v>
      </c>
      <c r="Q14" s="23">
        <f>+'GAAP CF Act &amp; Forecast'!Q31</f>
        <v>-100000</v>
      </c>
      <c r="R14" s="23">
        <f>+'GAAP CF Act &amp; Forecast'!R31</f>
        <v>-100000</v>
      </c>
      <c r="S14" s="23">
        <f>+'GAAP CF Act &amp; Forecast'!S31</f>
        <v>-100000</v>
      </c>
      <c r="T14" s="23">
        <f>+'GAAP CF Act &amp; Forecast'!T31</f>
        <v>-100000</v>
      </c>
      <c r="U14" s="23">
        <f>+'GAAP CF Act &amp; Forecast'!U31</f>
        <v>-100000</v>
      </c>
      <c r="V14" s="23">
        <f>+'GAAP CF Act &amp; Forecast'!V31</f>
        <v>-100000</v>
      </c>
      <c r="W14" s="23">
        <f>+'GAAP CF Act &amp; Forecast'!W31</f>
        <v>-100000</v>
      </c>
      <c r="X14" s="23">
        <f>+'GAAP CF Act &amp; Forecast'!X31</f>
        <v>0</v>
      </c>
      <c r="Y14" s="23">
        <f>+'GAAP CF Act &amp; Forecast'!Y31</f>
        <v>0</v>
      </c>
      <c r="Z14" s="23">
        <f>+'GAAP CF Act &amp; Forecast'!Z31</f>
        <v>0</v>
      </c>
      <c r="AA14" s="23">
        <f>+'GAAP CF Act &amp; Forecast'!AA31</f>
        <v>0</v>
      </c>
      <c r="AB14" s="23">
        <f>+'GAAP CF Act &amp; Forecast'!AB31</f>
        <v>0</v>
      </c>
      <c r="AC14" s="43">
        <f t="shared" si="1"/>
        <v>-700000</v>
      </c>
      <c r="AE14" s="23">
        <f>+'GAAP CF Act &amp; Forecast'!AE31</f>
        <v>0</v>
      </c>
      <c r="AF14" s="23">
        <f>+'GAAP CF Act &amp; Forecast'!AF31</f>
        <v>0</v>
      </c>
      <c r="AG14" s="23">
        <f>+'GAAP CF Act &amp; Forecast'!AG31</f>
        <v>-100000</v>
      </c>
      <c r="AH14" s="23">
        <f>+'GAAP CF Act &amp; Forecast'!AH31</f>
        <v>-100000</v>
      </c>
      <c r="AI14" s="23">
        <f>+'GAAP CF Act &amp; Forecast'!AI31</f>
        <v>-100000</v>
      </c>
      <c r="AJ14" s="23">
        <f>+'GAAP CF Act &amp; Forecast'!AJ31</f>
        <v>-100000</v>
      </c>
      <c r="AK14" s="23">
        <f>+'GAAP CF Act &amp; Forecast'!AK31</f>
        <v>-100000</v>
      </c>
      <c r="AL14" s="23">
        <f>+'GAAP CF Act &amp; Forecast'!AL31</f>
        <v>-100000</v>
      </c>
      <c r="AM14" s="23">
        <f>+'GAAP CF Act &amp; Forecast'!AM31</f>
        <v>-100000</v>
      </c>
      <c r="AN14" s="23">
        <f>+'GAAP CF Act &amp; Forecast'!AN31</f>
        <v>-100000</v>
      </c>
      <c r="AO14" s="23">
        <f>+'GAAP CF Act &amp; Forecast'!AO31</f>
        <v>-100000</v>
      </c>
      <c r="AP14" s="23">
        <f>+'GAAP CF Act &amp; Forecast'!AP31</f>
        <v>-600000</v>
      </c>
      <c r="AQ14" s="35">
        <f t="shared" si="2"/>
        <v>-1500000</v>
      </c>
    </row>
    <row r="15" spans="1:43" x14ac:dyDescent="0.15">
      <c r="A15" t="s">
        <v>88</v>
      </c>
      <c r="C15" s="23">
        <f>+'GAAP CF Act &amp; Forecast'!C18+'GAAP CF Act &amp; Forecast'!C30</f>
        <v>-15000</v>
      </c>
      <c r="D15" s="23">
        <f>+'GAAP CF Act &amp; Forecast'!D18+'GAAP CF Act &amp; Forecast'!D30</f>
        <v>-15000</v>
      </c>
      <c r="E15" s="23">
        <f>+'GAAP CF Act &amp; Forecast'!E18+'GAAP CF Act &amp; Forecast'!E30</f>
        <v>-15000</v>
      </c>
      <c r="F15" s="23">
        <f>+'GAAP CF Act &amp; Forecast'!F18+'GAAP CF Act &amp; Forecast'!F30</f>
        <v>-15000</v>
      </c>
      <c r="G15" s="23">
        <f>+'GAAP CF Act &amp; Forecast'!G18+'GAAP CF Act &amp; Forecast'!G30</f>
        <v>-15000</v>
      </c>
      <c r="H15" s="23">
        <f>+'GAAP CF Act &amp; Forecast'!H18+'GAAP CF Act &amp; Forecast'!H30</f>
        <v>-15000</v>
      </c>
      <c r="I15" s="23">
        <f>+'GAAP CF Act &amp; Forecast'!I18+'GAAP CF Act &amp; Forecast'!I30</f>
        <v>-15000</v>
      </c>
      <c r="J15" s="23">
        <f>+'GAAP CF Act &amp; Forecast'!J18+'GAAP CF Act &amp; Forecast'!J30</f>
        <v>-15000</v>
      </c>
      <c r="K15" s="23">
        <f>+'GAAP CF Act &amp; Forecast'!K18+'GAAP CF Act &amp; Forecast'!K30</f>
        <v>-15000</v>
      </c>
      <c r="L15" s="23">
        <f>+'GAAP CF Act &amp; Forecast'!L18+'GAAP CF Act &amp; Forecast'!L30</f>
        <v>-15000</v>
      </c>
      <c r="M15" s="23">
        <f>+'GAAP CF Act &amp; Forecast'!M18+'GAAP CF Act &amp; Forecast'!M30</f>
        <v>-15000</v>
      </c>
      <c r="N15" s="23">
        <f>+'GAAP CF Act &amp; Forecast'!N18+'GAAP CF Act &amp; Forecast'!N30</f>
        <v>-15000</v>
      </c>
      <c r="O15" s="35">
        <f t="shared" si="0"/>
        <v>-180000</v>
      </c>
      <c r="Q15" s="23">
        <f>+'GAAP CF Act &amp; Forecast'!Q18+'GAAP CF Act &amp; Forecast'!Q30</f>
        <v>-15000</v>
      </c>
      <c r="R15" s="23">
        <f>+'GAAP CF Act &amp; Forecast'!R18+'GAAP CF Act &amp; Forecast'!R30</f>
        <v>-15000</v>
      </c>
      <c r="S15" s="23">
        <f>+'GAAP CF Act &amp; Forecast'!S18+'GAAP CF Act &amp; Forecast'!S30</f>
        <v>-15000</v>
      </c>
      <c r="T15" s="23">
        <f>+'GAAP CF Act &amp; Forecast'!T18+'GAAP CF Act &amp; Forecast'!T30</f>
        <v>-15000</v>
      </c>
      <c r="U15" s="23">
        <f>+'GAAP CF Act &amp; Forecast'!U18+'GAAP CF Act &amp; Forecast'!U30</f>
        <v>-15000</v>
      </c>
      <c r="V15" s="23">
        <f>+'GAAP CF Act &amp; Forecast'!V18+'GAAP CF Act &amp; Forecast'!V30</f>
        <v>-15000</v>
      </c>
      <c r="W15" s="23">
        <f>+'GAAP CF Act &amp; Forecast'!W18+'GAAP CF Act &amp; Forecast'!W30</f>
        <v>-15000</v>
      </c>
      <c r="X15" s="23">
        <f>+'GAAP CF Act &amp; Forecast'!X18+'GAAP CF Act &amp; Forecast'!X30</f>
        <v>-15000</v>
      </c>
      <c r="Y15" s="23">
        <f>+'GAAP CF Act &amp; Forecast'!Y18+'GAAP CF Act &amp; Forecast'!Y30</f>
        <v>-15000</v>
      </c>
      <c r="Z15" s="23">
        <f>+'GAAP CF Act &amp; Forecast'!Z18+'GAAP CF Act &amp; Forecast'!Z30</f>
        <v>-15000</v>
      </c>
      <c r="AA15" s="23">
        <f>+'GAAP CF Act &amp; Forecast'!AA18+'GAAP CF Act &amp; Forecast'!AA30</f>
        <v>-15000</v>
      </c>
      <c r="AB15" s="23">
        <f>+'GAAP CF Act &amp; Forecast'!AB18+'GAAP CF Act &amp; Forecast'!AB30</f>
        <v>-15000</v>
      </c>
      <c r="AC15" s="43">
        <f t="shared" si="1"/>
        <v>-180000</v>
      </c>
      <c r="AE15" s="23">
        <f>+'GAAP CF Act &amp; Forecast'!AE18+'GAAP CF Act &amp; Forecast'!AE30</f>
        <v>-15000</v>
      </c>
      <c r="AF15" s="23">
        <f>+'GAAP CF Act &amp; Forecast'!AF18+'GAAP CF Act &amp; Forecast'!AF30</f>
        <v>-15000</v>
      </c>
      <c r="AG15" s="23">
        <f>+'GAAP CF Act &amp; Forecast'!AG18+'GAAP CF Act &amp; Forecast'!AG30</f>
        <v>-15000</v>
      </c>
      <c r="AH15" s="23">
        <f>+'GAAP CF Act &amp; Forecast'!AH18+'GAAP CF Act &amp; Forecast'!AH30</f>
        <v>-15000</v>
      </c>
      <c r="AI15" s="23">
        <f>+'GAAP CF Act &amp; Forecast'!AI18+'GAAP CF Act &amp; Forecast'!AI30</f>
        <v>-15000</v>
      </c>
      <c r="AJ15" s="23">
        <f>+'GAAP CF Act &amp; Forecast'!AJ18+'GAAP CF Act &amp; Forecast'!AJ30</f>
        <v>-15000</v>
      </c>
      <c r="AK15" s="23">
        <f>+'GAAP CF Act &amp; Forecast'!AK18+'GAAP CF Act &amp; Forecast'!AK30</f>
        <v>-202082.5</v>
      </c>
      <c r="AL15" s="23">
        <f>+'GAAP CF Act &amp; Forecast'!AL18+'GAAP CF Act &amp; Forecast'!AL30</f>
        <v>-202082.5</v>
      </c>
      <c r="AM15" s="23">
        <f>+'GAAP CF Act &amp; Forecast'!AM18+'GAAP CF Act &amp; Forecast'!AM30</f>
        <v>-202082.5</v>
      </c>
      <c r="AN15" s="23">
        <f>+'GAAP CF Act &amp; Forecast'!AN18+'GAAP CF Act &amp; Forecast'!AN30</f>
        <v>-202082.5</v>
      </c>
      <c r="AO15" s="23">
        <f>+'GAAP CF Act &amp; Forecast'!AO18+'GAAP CF Act &amp; Forecast'!AO30</f>
        <v>-202082.5</v>
      </c>
      <c r="AP15" s="23">
        <f>+'GAAP CF Act &amp; Forecast'!AP18+'GAAP CF Act &amp; Forecast'!AP30</f>
        <v>-202082.5</v>
      </c>
      <c r="AQ15" s="35">
        <f t="shared" si="2"/>
        <v>-1302495</v>
      </c>
    </row>
    <row r="16" spans="1:43" x14ac:dyDescent="0.15">
      <c r="A16" t="s">
        <v>209</v>
      </c>
      <c r="C16" s="24">
        <f>+'GAAP CF Act &amp; Forecast'!C36-SUM('Summary Cash Flow'!C11:C15)</f>
        <v>9889</v>
      </c>
      <c r="D16" s="24">
        <f>+'GAAP CF Act &amp; Forecast'!D36-SUM('Summary Cash Flow'!D11:D15)</f>
        <v>-39009.339308000111</v>
      </c>
      <c r="E16" s="24">
        <f>+'GAAP CF Act &amp; Forecast'!E36-SUM('Summary Cash Flow'!E11:E15)</f>
        <v>-19905.206096360023</v>
      </c>
      <c r="F16" s="24">
        <f>+'GAAP CF Act &amp; Forecast'!F36-SUM('Summary Cash Flow'!F11:F15)</f>
        <v>-13438.970595953753</v>
      </c>
      <c r="G16" s="24">
        <f>+'GAAP CF Act &amp; Forecast'!G36-SUM('Summary Cash Flow'!G11:G15)</f>
        <v>-43875.581240702886</v>
      </c>
      <c r="H16" s="24">
        <f>+'GAAP CF Act &amp; Forecast'!H36-SUM('Summary Cash Flow'!H11:H15)</f>
        <v>17241.873773288273</v>
      </c>
      <c r="I16" s="24">
        <f>+'GAAP CF Act &amp; Forecast'!I36-SUM('Summary Cash Flow'!I11:I15)</f>
        <v>33270.119726184232</v>
      </c>
      <c r="J16" s="24">
        <f>+'GAAP CF Act &amp; Forecast'!J36-SUM('Summary Cash Flow'!J11:J15)</f>
        <v>125124.30372416112</v>
      </c>
      <c r="K16" s="24">
        <f>+'GAAP CF Act &amp; Forecast'!K36-SUM('Summary Cash Flow'!K11:K15)</f>
        <v>4850.1422331050271</v>
      </c>
      <c r="L16" s="24">
        <f>+'GAAP CF Act &amp; Forecast'!L36-SUM('Summary Cash Flow'!L11:L15)</f>
        <v>-52554.21592161007</v>
      </c>
      <c r="M16" s="24">
        <f>+'GAAP CF Act &amp; Forecast'!M36-SUM('Summary Cash Flow'!M11:M15)</f>
        <v>22882.182788060512</v>
      </c>
      <c r="N16" s="24">
        <f>+'GAAP CF Act &amp; Forecast'!N36-SUM('Summary Cash Flow'!N11:N15)</f>
        <v>-34298.458640301134</v>
      </c>
      <c r="O16" s="24">
        <f t="shared" si="0"/>
        <v>10175.850441871182</v>
      </c>
      <c r="Q16" s="24">
        <f>+'GAAP CF Act &amp; Forecast'!Q36-SUM('Summary Cash Flow'!Q11:Q15)</f>
        <v>-1676.3850058334647</v>
      </c>
      <c r="R16" s="24">
        <f>+'GAAP CF Act &amp; Forecast'!R36-SUM('Summary Cash Flow'!R11:R15)</f>
        <v>33762.026760710869</v>
      </c>
      <c r="S16" s="24">
        <f>+'GAAP CF Act &amp; Forecast'!S36-SUM('Summary Cash Flow'!S11:S15)</f>
        <v>30869.158271084656</v>
      </c>
      <c r="T16" s="24">
        <f>+'GAAP CF Act &amp; Forecast'!T36-SUM('Summary Cash Flow'!T11:T15)</f>
        <v>53625.670486589079</v>
      </c>
      <c r="U16" s="24">
        <f>+'GAAP CF Act &amp; Forecast'!U36-SUM('Summary Cash Flow'!U11:U15)</f>
        <v>-51550.188102807937</v>
      </c>
      <c r="V16" s="24">
        <f>+'GAAP CF Act &amp; Forecast'!V36-SUM('Summary Cash Flow'!V11:V15)</f>
        <v>-44243.412117338856</v>
      </c>
      <c r="W16" s="24">
        <f>+'GAAP CF Act &amp; Forecast'!W36-SUM('Summary Cash Flow'!W11:W15)</f>
        <v>-47550.978133113589</v>
      </c>
      <c r="X16" s="24">
        <f>+'GAAP CF Act &amp; Forecast'!X36-SUM('Summary Cash Flow'!X11:X15)</f>
        <v>76973.354423041455</v>
      </c>
      <c r="Y16" s="24">
        <f>+'GAAP CF Act &amp; Forecast'!Y36-SUM('Summary Cash Flow'!Y11:Y15)</f>
        <v>76987.756988572655</v>
      </c>
      <c r="Z16" s="24">
        <f>+'GAAP CF Act &amp; Forecast'!Z36-SUM('Summary Cash Flow'!Z11:Z15)</f>
        <v>18427.724158118246</v>
      </c>
      <c r="AA16" s="24">
        <f>+'GAAP CF Act &amp; Forecast'!AA36-SUM('Summary Cash Flow'!AA11:AA15)</f>
        <v>-12472.883546207973</v>
      </c>
      <c r="AB16" s="24">
        <f>+'GAAP CF Act &amp; Forecast'!AB36-SUM('Summary Cash Flow'!AB11:AB15)</f>
        <v>-36803.425979395251</v>
      </c>
      <c r="AC16" s="24">
        <f t="shared" si="1"/>
        <v>96348.418203419889</v>
      </c>
      <c r="AE16" s="24">
        <f>+'GAAP CF Act &amp; Forecast'!AE36-SUM('Summary Cash Flow'!AE11:AE15)</f>
        <v>138398.34085577249</v>
      </c>
      <c r="AF16" s="24">
        <f>+'GAAP CF Act &amp; Forecast'!AF36-SUM('Summary Cash Flow'!AF11:AF15)</f>
        <v>52567.091132681118</v>
      </c>
      <c r="AG16" s="24">
        <f>+'GAAP CF Act &amp; Forecast'!AG36-SUM('Summary Cash Flow'!AG11:AG15)</f>
        <v>-55594.722319163382</v>
      </c>
      <c r="AH16" s="24">
        <f>+'GAAP CF Act &amp; Forecast'!AH36-SUM('Summary Cash Flow'!AH11:AH15)</f>
        <v>-155129.4500068354</v>
      </c>
      <c r="AI16" s="24">
        <f>+'GAAP CF Act &amp; Forecast'!AI36-SUM('Summary Cash Flow'!AI11:AI15)</f>
        <v>-28732.806520328857</v>
      </c>
      <c r="AJ16" s="24">
        <f>+'GAAP CF Act &amp; Forecast'!AJ36-SUM('Summary Cash Flow'!AJ11:AJ15)</f>
        <v>-2901.3364842202282</v>
      </c>
      <c r="AK16" s="24">
        <f>+'GAAP CF Act &amp; Forecast'!AK36-SUM('Summary Cash Flow'!AK11:AK15)</f>
        <v>39592.131160726451</v>
      </c>
      <c r="AL16" s="24">
        <f>+'GAAP CF Act &amp; Forecast'!AL36-SUM('Summary Cash Flow'!AL11:AL15)</f>
        <v>84103.692453725438</v>
      </c>
      <c r="AM16" s="24">
        <f>+'GAAP CF Act &amp; Forecast'!AM36-SUM('Summary Cash Flow'!AM11:AM15)</f>
        <v>7241.2216362258769</v>
      </c>
      <c r="AN16" s="24">
        <f>+'GAAP CF Act &amp; Forecast'!AN36-SUM('Summary Cash Flow'!AN11:AN15)</f>
        <v>-19493.035361564311</v>
      </c>
      <c r="AO16" s="24">
        <f>+'GAAP CF Act &amp; Forecast'!AO36-SUM('Summary Cash Flow'!AO11:AO15)</f>
        <v>-45983.112257926958</v>
      </c>
      <c r="AP16" s="24">
        <f>+'GAAP CF Act &amp; Forecast'!AP36-SUM('Summary Cash Flow'!AP11:AP15)</f>
        <v>-63412.60105415876</v>
      </c>
      <c r="AQ16" s="24">
        <f t="shared" si="2"/>
        <v>-49344.586765066517</v>
      </c>
    </row>
    <row r="17" spans="1:43" x14ac:dyDescent="0.1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</row>
    <row r="18" spans="1:43" x14ac:dyDescent="0.15">
      <c r="A18" s="54" t="s">
        <v>47</v>
      </c>
      <c r="C18" s="23">
        <f>SUM(C11:C16)</f>
        <v>-101973.61099999995</v>
      </c>
      <c r="D18" s="23">
        <f t="shared" ref="D18:N18" si="3">SUM(D11:D16)</f>
        <v>196694.03654620581</v>
      </c>
      <c r="E18" s="23">
        <f t="shared" si="3"/>
        <v>41339.450588983455</v>
      </c>
      <c r="F18" s="23">
        <f t="shared" si="3"/>
        <v>-356515.13262563106</v>
      </c>
      <c r="G18" s="23">
        <f t="shared" si="3"/>
        <v>209831.16244376323</v>
      </c>
      <c r="H18" s="23">
        <f t="shared" si="3"/>
        <v>210605.95808210247</v>
      </c>
      <c r="I18" s="23">
        <f t="shared" si="3"/>
        <v>70352.780209818244</v>
      </c>
      <c r="J18" s="23">
        <f t="shared" si="3"/>
        <v>537316.05142606725</v>
      </c>
      <c r="K18" s="23">
        <f t="shared" si="3"/>
        <v>-289420.67827523721</v>
      </c>
      <c r="L18" s="23">
        <f t="shared" si="3"/>
        <v>-292940.23949825543</v>
      </c>
      <c r="M18" s="23">
        <f t="shared" si="3"/>
        <v>-31167.670788903895</v>
      </c>
      <c r="N18" s="23">
        <f t="shared" si="3"/>
        <v>-613253.61087233596</v>
      </c>
      <c r="O18" s="23">
        <f t="shared" ref="O18" si="4">SUM(O11:O16)</f>
        <v>-419131.50376342307</v>
      </c>
      <c r="Q18" s="23">
        <f>SUM(Q11:Q16)</f>
        <v>148718.892847082</v>
      </c>
      <c r="R18" s="23">
        <f t="shared" ref="R18:AC18" si="5">SUM(R11:R16)</f>
        <v>348380.19907071092</v>
      </c>
      <c r="S18" s="23">
        <f t="shared" si="5"/>
        <v>200067.93295286607</v>
      </c>
      <c r="T18" s="23">
        <f t="shared" si="5"/>
        <v>-188204.15854981483</v>
      </c>
      <c r="U18" s="23">
        <f t="shared" si="5"/>
        <v>-159192.41092505225</v>
      </c>
      <c r="V18" s="23">
        <f t="shared" si="5"/>
        <v>-124674.2443692676</v>
      </c>
      <c r="W18" s="23">
        <f t="shared" si="5"/>
        <v>202778.85285388783</v>
      </c>
      <c r="X18" s="23">
        <f t="shared" si="5"/>
        <v>-88343.320509903715</v>
      </c>
      <c r="Y18" s="23">
        <f t="shared" si="5"/>
        <v>-32580.039962579613</v>
      </c>
      <c r="Z18" s="23">
        <f t="shared" si="5"/>
        <v>-572459.8718403778</v>
      </c>
      <c r="AA18" s="23">
        <f t="shared" si="5"/>
        <v>252892.37807345064</v>
      </c>
      <c r="AB18" s="23">
        <f t="shared" si="5"/>
        <v>-82012.188057037885</v>
      </c>
      <c r="AC18" s="23">
        <f t="shared" si="5"/>
        <v>-94627.978416036</v>
      </c>
      <c r="AE18" s="23">
        <f>SUM(AE11:AE16)</f>
        <v>-355453.44536169723</v>
      </c>
      <c r="AF18" s="23">
        <f t="shared" ref="AF18:AQ18" si="6">SUM(AF11:AF16)</f>
        <v>380554.21894336236</v>
      </c>
      <c r="AG18" s="23">
        <f t="shared" si="6"/>
        <v>869565.60501022427</v>
      </c>
      <c r="AH18" s="23">
        <f t="shared" si="6"/>
        <v>701079.66524687107</v>
      </c>
      <c r="AI18" s="23">
        <f t="shared" si="6"/>
        <v>208872.47486095247</v>
      </c>
      <c r="AJ18" s="23">
        <f t="shared" si="6"/>
        <v>-57479.14863900069</v>
      </c>
      <c r="AK18" s="23">
        <f t="shared" si="6"/>
        <v>-230668.64713903356</v>
      </c>
      <c r="AL18" s="23">
        <f t="shared" si="6"/>
        <v>-291927.5719257262</v>
      </c>
      <c r="AM18" s="23">
        <f t="shared" si="6"/>
        <v>-245257.60577621893</v>
      </c>
      <c r="AN18" s="23">
        <f t="shared" si="6"/>
        <v>28026.087230818288</v>
      </c>
      <c r="AO18" s="23">
        <f t="shared" si="6"/>
        <v>73727.67678375484</v>
      </c>
      <c r="AP18" s="23">
        <f t="shared" si="6"/>
        <v>-445471.52771612478</v>
      </c>
      <c r="AQ18" s="23">
        <f t="shared" si="6"/>
        <v>635567.78151818155</v>
      </c>
    </row>
    <row r="19" spans="1:43" x14ac:dyDescent="0.15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</row>
    <row r="20" spans="1:43" ht="14" thickBot="1" x14ac:dyDescent="0.2">
      <c r="A20" s="54" t="s">
        <v>48</v>
      </c>
      <c r="C20" s="93">
        <f>+C9+C18</f>
        <v>1143470.389</v>
      </c>
      <c r="D20" s="93">
        <f t="shared" ref="D20:N20" si="7">+D9+D18</f>
        <v>1340164.4255462058</v>
      </c>
      <c r="E20" s="93">
        <f t="shared" si="7"/>
        <v>1381503.8761351893</v>
      </c>
      <c r="F20" s="93">
        <f t="shared" si="7"/>
        <v>1024988.7435095583</v>
      </c>
      <c r="G20" s="93">
        <f t="shared" si="7"/>
        <v>1234819.9059533216</v>
      </c>
      <c r="H20" s="93">
        <f t="shared" si="7"/>
        <v>1445425.8640354241</v>
      </c>
      <c r="I20" s="93">
        <f t="shared" si="7"/>
        <v>1515778.6442452422</v>
      </c>
      <c r="J20" s="93">
        <f t="shared" si="7"/>
        <v>2053094.6956713095</v>
      </c>
      <c r="K20" s="93">
        <f t="shared" si="7"/>
        <v>1763674.0173960724</v>
      </c>
      <c r="L20" s="93">
        <f t="shared" si="7"/>
        <v>1470733.7778978171</v>
      </c>
      <c r="M20" s="93">
        <f t="shared" si="7"/>
        <v>1439566.1071089131</v>
      </c>
      <c r="N20" s="93">
        <f t="shared" si="7"/>
        <v>826312.49623657716</v>
      </c>
      <c r="O20" s="93">
        <f t="shared" ref="O20" si="8">+O9+O18</f>
        <v>826312.49623657693</v>
      </c>
      <c r="Q20" s="93">
        <f>+Q9+Q18</f>
        <v>975031.38908365916</v>
      </c>
      <c r="R20" s="93">
        <f t="shared" ref="R20:AC20" si="9">+R9+R18</f>
        <v>1323411.58815437</v>
      </c>
      <c r="S20" s="93">
        <f t="shared" si="9"/>
        <v>1523479.5211072359</v>
      </c>
      <c r="T20" s="93">
        <f t="shared" si="9"/>
        <v>1335275.362557421</v>
      </c>
      <c r="U20" s="93">
        <f t="shared" si="9"/>
        <v>1176082.9516323688</v>
      </c>
      <c r="V20" s="93">
        <f t="shared" si="9"/>
        <v>1051408.7072631014</v>
      </c>
      <c r="W20" s="93">
        <f t="shared" si="9"/>
        <v>1254187.5601169891</v>
      </c>
      <c r="X20" s="93">
        <f t="shared" si="9"/>
        <v>1165844.2396070855</v>
      </c>
      <c r="Y20" s="93">
        <f t="shared" si="9"/>
        <v>1133264.199644506</v>
      </c>
      <c r="Z20" s="93">
        <f t="shared" si="9"/>
        <v>560804.32780412817</v>
      </c>
      <c r="AA20" s="93">
        <f t="shared" si="9"/>
        <v>813696.70587757882</v>
      </c>
      <c r="AB20" s="93">
        <f t="shared" si="9"/>
        <v>731684.51782054093</v>
      </c>
      <c r="AC20" s="93">
        <f t="shared" si="9"/>
        <v>731684.51782054116</v>
      </c>
      <c r="AE20" s="93">
        <f>+AE9+AE18</f>
        <v>376231.0724588437</v>
      </c>
      <c r="AF20" s="93">
        <f t="shared" ref="AF20:AQ20" si="10">+AF9+AF18</f>
        <v>756785.29140220606</v>
      </c>
      <c r="AG20" s="93">
        <f t="shared" si="10"/>
        <v>1626350.8964124303</v>
      </c>
      <c r="AH20" s="93">
        <f t="shared" si="10"/>
        <v>2327430.5616593016</v>
      </c>
      <c r="AI20" s="93">
        <f t="shared" si="10"/>
        <v>2536303.0365202539</v>
      </c>
      <c r="AJ20" s="93">
        <f t="shared" si="10"/>
        <v>2478823.8878812534</v>
      </c>
      <c r="AK20" s="93">
        <f t="shared" si="10"/>
        <v>2248155.2407422196</v>
      </c>
      <c r="AL20" s="93">
        <f t="shared" si="10"/>
        <v>1956227.6688164934</v>
      </c>
      <c r="AM20" s="93">
        <f t="shared" si="10"/>
        <v>1710970.0630402744</v>
      </c>
      <c r="AN20" s="93">
        <f t="shared" si="10"/>
        <v>1738996.1502710928</v>
      </c>
      <c r="AO20" s="93">
        <f t="shared" si="10"/>
        <v>1812723.8270548475</v>
      </c>
      <c r="AP20" s="93">
        <f t="shared" si="10"/>
        <v>1367252.2993387226</v>
      </c>
      <c r="AQ20" s="93">
        <f t="shared" si="10"/>
        <v>1367252.2993387226</v>
      </c>
    </row>
    <row r="21" spans="1:43" ht="14" thickTop="1" x14ac:dyDescent="0.15"/>
    <row r="23" spans="1:43" x14ac:dyDescent="0.15">
      <c r="A23" s="54" t="s">
        <v>199</v>
      </c>
      <c r="C23" s="31">
        <f>+'BS Actual &amp; Forecast'!C10</f>
        <v>1143470.5249999999</v>
      </c>
      <c r="D23" s="31">
        <f>+'BS Actual &amp; Forecast'!D10</f>
        <v>1340164.5615462058</v>
      </c>
      <c r="E23" s="31">
        <f>+'BS Actual &amp; Forecast'!E10</f>
        <v>1381504.0121351893</v>
      </c>
      <c r="F23" s="31">
        <f>+'BS Actual &amp; Forecast'!F10</f>
        <v>1024988.879509558</v>
      </c>
      <c r="G23" s="31">
        <f>+'BS Actual &amp; Forecast'!G10</f>
        <v>1234820.0419533211</v>
      </c>
      <c r="H23" s="31">
        <f>+'BS Actual &amp; Forecast'!H10</f>
        <v>1445426.0000354236</v>
      </c>
      <c r="I23" s="31">
        <f>+'BS Actual &amp; Forecast'!I10</f>
        <v>1515778.7802452419</v>
      </c>
      <c r="J23" s="31">
        <f>+'BS Actual &amp; Forecast'!J10</f>
        <v>2053094.8316713092</v>
      </c>
      <c r="K23" s="31">
        <f>+'BS Actual &amp; Forecast'!K10</f>
        <v>1763674.1533960719</v>
      </c>
      <c r="L23" s="31">
        <f>+'BS Actual &amp; Forecast'!L10</f>
        <v>1470733.9138978163</v>
      </c>
      <c r="M23" s="31">
        <f>+'BS Actual &amp; Forecast'!M10</f>
        <v>1439566.2431089126</v>
      </c>
      <c r="N23" s="31">
        <f>+'BS Actual &amp; Forecast'!N10</f>
        <v>826312.63223657687</v>
      </c>
      <c r="O23" s="31">
        <f>+N23</f>
        <v>826312.63223657687</v>
      </c>
      <c r="Q23" s="31">
        <f>+'BS Actual &amp; Forecast'!Q10</f>
        <v>975031.52508366399</v>
      </c>
      <c r="R23" s="31">
        <f>+'BS Actual &amp; Forecast'!R10</f>
        <v>1323411.724154375</v>
      </c>
      <c r="S23" s="31">
        <f>+'BS Actual &amp; Forecast'!S10</f>
        <v>1523479.6571072412</v>
      </c>
      <c r="T23" s="31">
        <f>+'BS Actual &amp; Forecast'!T10</f>
        <v>1335275.4985574265</v>
      </c>
      <c r="U23" s="31">
        <f>+'BS Actual &amp; Forecast'!U10</f>
        <v>1176083.0876323741</v>
      </c>
      <c r="V23" s="31">
        <f>+'BS Actual &amp; Forecast'!V10</f>
        <v>1051408.8432631069</v>
      </c>
      <c r="W23" s="31">
        <f>+'BS Actual &amp; Forecast'!W10</f>
        <v>1254187.6961169946</v>
      </c>
      <c r="X23" s="31">
        <f>+'BS Actual &amp; Forecast'!X10</f>
        <v>1165844.3756070908</v>
      </c>
      <c r="Y23" s="31">
        <f>+'BS Actual &amp; Forecast'!Y10</f>
        <v>1133264.3356445113</v>
      </c>
      <c r="Z23" s="31">
        <f>+'BS Actual &amp; Forecast'!Z10</f>
        <v>560804.4638041337</v>
      </c>
      <c r="AA23" s="31">
        <f>+'BS Actual &amp; Forecast'!AA10</f>
        <v>813696.84187758435</v>
      </c>
      <c r="AB23" s="31">
        <f>+'BS Actual &amp; Forecast'!AB10</f>
        <v>731684.65382054681</v>
      </c>
      <c r="AC23" s="31">
        <f>+AB23</f>
        <v>731684.65382054681</v>
      </c>
      <c r="AE23" s="31">
        <f>+'BS Actual &amp; Forecast'!AE10</f>
        <v>376231.20845885004</v>
      </c>
      <c r="AF23" s="31">
        <f>+'BS Actual &amp; Forecast'!AF10</f>
        <v>756785.42740221124</v>
      </c>
      <c r="AG23" s="31">
        <f>+'BS Actual &amp; Forecast'!AG10</f>
        <v>1626351.0324124354</v>
      </c>
      <c r="AH23" s="31">
        <f>+'BS Actual &amp; Forecast'!AH10</f>
        <v>2327430.6976593062</v>
      </c>
      <c r="AI23" s="31">
        <f>+'BS Actual &amp; Forecast'!AI10</f>
        <v>2536303.172520258</v>
      </c>
      <c r="AJ23" s="31">
        <f>+'BS Actual &amp; Forecast'!AJ10</f>
        <v>2478824.0238812566</v>
      </c>
      <c r="AK23" s="31">
        <f>+'BS Actual &amp; Forecast'!AK10</f>
        <v>2248155.3767422223</v>
      </c>
      <c r="AL23" s="31">
        <f>+'BS Actual &amp; Forecast'!AL10</f>
        <v>1956227.8048164956</v>
      </c>
      <c r="AM23" s="31">
        <f>+'BS Actual &amp; Forecast'!AM10</f>
        <v>1710970.1990402774</v>
      </c>
      <c r="AN23" s="31">
        <f>+'BS Actual &amp; Forecast'!AN10</f>
        <v>1738996.2862710957</v>
      </c>
      <c r="AO23" s="31">
        <f>+'BS Actual &amp; Forecast'!AO10</f>
        <v>1812723.9630548502</v>
      </c>
      <c r="AP23" s="31">
        <f>+'BS Actual &amp; Forecast'!AP10</f>
        <v>1367252.4353387253</v>
      </c>
      <c r="AQ23" s="31">
        <f>+AP23</f>
        <v>1367252.4353387253</v>
      </c>
    </row>
    <row r="24" spans="1:43" x14ac:dyDescent="0.15">
      <c r="A24" s="54" t="s">
        <v>200</v>
      </c>
      <c r="C24" s="23">
        <f>+C23-C20</f>
        <v>0.13599999994039536</v>
      </c>
      <c r="D24" s="23">
        <f>+D23-D20</f>
        <v>0.13599999994039536</v>
      </c>
      <c r="E24" s="23">
        <f t="shared" ref="E24:O24" si="11">+E23-E20</f>
        <v>0.13599999994039536</v>
      </c>
      <c r="F24" s="23">
        <f t="shared" si="11"/>
        <v>0.13599999970756471</v>
      </c>
      <c r="G24" s="23">
        <f t="shared" si="11"/>
        <v>0.13599999947473407</v>
      </c>
      <c r="H24" s="23">
        <f t="shared" si="11"/>
        <v>0.13599999947473407</v>
      </c>
      <c r="I24" s="23">
        <f t="shared" si="11"/>
        <v>0.13599999970756471</v>
      </c>
      <c r="J24" s="23">
        <f t="shared" si="11"/>
        <v>0.13599999970756471</v>
      </c>
      <c r="K24" s="23">
        <f t="shared" si="11"/>
        <v>0.13599999947473407</v>
      </c>
      <c r="L24" s="23">
        <f t="shared" si="11"/>
        <v>0.13599999924190342</v>
      </c>
      <c r="M24" s="23">
        <f t="shared" si="11"/>
        <v>0.13599999947473407</v>
      </c>
      <c r="N24" s="23">
        <f t="shared" si="11"/>
        <v>0.13599999970756471</v>
      </c>
      <c r="O24" s="23">
        <f t="shared" si="11"/>
        <v>0.13599999994039536</v>
      </c>
      <c r="Q24" s="23">
        <f t="shared" ref="Q24:AC24" si="12">+Q23-Q20</f>
        <v>0.13600000482983887</v>
      </c>
      <c r="R24" s="23">
        <f t="shared" si="12"/>
        <v>0.13600000506266952</v>
      </c>
      <c r="S24" s="23">
        <f t="shared" si="12"/>
        <v>0.13600000529550016</v>
      </c>
      <c r="T24" s="23">
        <f t="shared" si="12"/>
        <v>0.1360000055283308</v>
      </c>
      <c r="U24" s="23">
        <f t="shared" si="12"/>
        <v>0.13600000529550016</v>
      </c>
      <c r="V24" s="23">
        <f t="shared" si="12"/>
        <v>0.1360000055283308</v>
      </c>
      <c r="W24" s="23">
        <f t="shared" si="12"/>
        <v>0.1360000055283308</v>
      </c>
      <c r="X24" s="23">
        <f t="shared" si="12"/>
        <v>0.13600000529550016</v>
      </c>
      <c r="Y24" s="23">
        <f t="shared" si="12"/>
        <v>0.13600000529550016</v>
      </c>
      <c r="Z24" s="23">
        <f t="shared" si="12"/>
        <v>0.1360000055283308</v>
      </c>
      <c r="AA24" s="23">
        <f t="shared" si="12"/>
        <v>0.1360000055283308</v>
      </c>
      <c r="AB24" s="23">
        <f t="shared" si="12"/>
        <v>0.13600000587757677</v>
      </c>
      <c r="AC24" s="23">
        <f t="shared" si="12"/>
        <v>0.13600000564474612</v>
      </c>
      <c r="AE24" s="23">
        <f t="shared" ref="AE24:AQ24" si="13">+AE23-AE20</f>
        <v>0.13600000634323806</v>
      </c>
      <c r="AF24" s="23">
        <f t="shared" si="13"/>
        <v>0.13600000517908484</v>
      </c>
      <c r="AG24" s="23">
        <f t="shared" si="13"/>
        <v>0.13600000506266952</v>
      </c>
      <c r="AH24" s="23">
        <f t="shared" si="13"/>
        <v>0.13600000459700823</v>
      </c>
      <c r="AI24" s="23">
        <f t="shared" si="13"/>
        <v>0.13600000413134694</v>
      </c>
      <c r="AJ24" s="23">
        <f t="shared" si="13"/>
        <v>0.13600000320002437</v>
      </c>
      <c r="AK24" s="23">
        <f t="shared" si="13"/>
        <v>0.13600000273436308</v>
      </c>
      <c r="AL24" s="23">
        <f t="shared" si="13"/>
        <v>0.13600000226870179</v>
      </c>
      <c r="AM24" s="23">
        <f t="shared" si="13"/>
        <v>0.13600000296719372</v>
      </c>
      <c r="AN24" s="23">
        <f t="shared" si="13"/>
        <v>0.13600000296719372</v>
      </c>
      <c r="AO24" s="23">
        <f t="shared" si="13"/>
        <v>0.13600000273436308</v>
      </c>
      <c r="AP24" s="23">
        <f t="shared" si="13"/>
        <v>0.13600000273436308</v>
      </c>
      <c r="AQ24" s="23">
        <f t="shared" si="13"/>
        <v>0.13600000273436308</v>
      </c>
    </row>
    <row r="27" spans="1:43" x14ac:dyDescent="0.15">
      <c r="A27" t="s">
        <v>204</v>
      </c>
      <c r="O27" s="33" t="e">
        <f>-#REF!/O11</f>
        <v>#REF!</v>
      </c>
      <c r="AC27" s="33" t="e">
        <f>-#REF!/AC11</f>
        <v>#REF!</v>
      </c>
      <c r="AQ27" s="33" t="e">
        <f>-#REF!/AQ11</f>
        <v>#REF!</v>
      </c>
    </row>
  </sheetData>
  <pageMargins left="0.7" right="0.7" top="0.75" bottom="0.75" header="0.3" footer="0.3"/>
  <pageSetup scale="52" orientation="landscape"/>
  <colBreaks count="2" manualBreakCount="2">
    <brk id="16" max="43" man="1"/>
    <brk id="29" max="43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T57"/>
  <sheetViews>
    <sheetView workbookViewId="0">
      <pane ySplit="11" topLeftCell="A12" activePane="bottomLeft" state="frozen"/>
      <selection activeCell="AA48" sqref="AA48"/>
      <selection pane="bottomLeft" activeCell="N44" sqref="N44"/>
    </sheetView>
  </sheetViews>
  <sheetFormatPr baseColWidth="10" defaultColWidth="17.1640625" defaultRowHeight="12.75" customHeight="1" x14ac:dyDescent="0.15"/>
  <cols>
    <col min="1" max="1" width="23.1640625" style="61" customWidth="1"/>
    <col min="2" max="2" width="11.33203125" style="61" bestFit="1" customWidth="1"/>
    <col min="3" max="3" width="11.33203125" style="61" customWidth="1"/>
    <col min="4" max="4" width="2.33203125" style="85" customWidth="1"/>
    <col min="5" max="5" width="10.5" style="61" customWidth="1"/>
    <col min="6" max="6" width="9.83203125" style="61" customWidth="1"/>
    <col min="7" max="7" width="10.5" style="61" customWidth="1"/>
    <col min="8" max="8" width="9.5" style="61" customWidth="1"/>
    <col min="9" max="9" width="10.33203125" style="61" bestFit="1" customWidth="1"/>
    <col min="10" max="10" width="11.5" style="61" customWidth="1"/>
    <col min="11" max="11" width="0.83203125" style="61" customWidth="1"/>
    <col min="12" max="12" width="11" style="61" customWidth="1"/>
    <col min="13" max="13" width="10.5" style="61" customWidth="1"/>
    <col min="14" max="14" width="21.83203125" style="61" customWidth="1"/>
    <col min="15" max="15" width="10.6640625" style="61" customWidth="1"/>
    <col min="16" max="16" width="10.5" style="61" customWidth="1"/>
    <col min="17" max="17" width="9.1640625" style="61" customWidth="1"/>
    <col min="18" max="16384" width="17.1640625" style="61"/>
  </cols>
  <sheetData>
    <row r="1" spans="1:20" ht="12" customHeight="1" x14ac:dyDescent="0.15">
      <c r="A1" s="58" t="s">
        <v>172</v>
      </c>
      <c r="B1" s="59"/>
      <c r="C1" s="59"/>
      <c r="D1" s="59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20" ht="12" customHeight="1" x14ac:dyDescent="0.15">
      <c r="A2" s="62" t="s">
        <v>123</v>
      </c>
      <c r="B2" s="59"/>
      <c r="C2" s="59"/>
      <c r="D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116" t="s">
        <v>214</v>
      </c>
      <c r="P2" s="60"/>
      <c r="Q2" s="60"/>
    </row>
    <row r="3" spans="1:20" ht="19.5" customHeight="1" x14ac:dyDescent="0.2">
      <c r="A3" s="62"/>
      <c r="B3" s="59"/>
      <c r="C3" s="59"/>
      <c r="D3" s="59"/>
      <c r="E3" s="60"/>
      <c r="F3" s="60"/>
      <c r="G3" s="91" t="s">
        <v>84</v>
      </c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20" ht="12" customHeight="1" x14ac:dyDescent="0.15">
      <c r="A4" s="60"/>
      <c r="B4" s="59"/>
      <c r="C4" s="59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138" t="s">
        <v>124</v>
      </c>
      <c r="P4" s="143"/>
      <c r="Q4" s="143"/>
    </row>
    <row r="5" spans="1:20" ht="12" customHeight="1" x14ac:dyDescent="0.15">
      <c r="A5" s="63" t="s">
        <v>125</v>
      </c>
      <c r="B5" s="139" t="s">
        <v>126</v>
      </c>
      <c r="C5" s="139"/>
      <c r="D5" s="59"/>
      <c r="E5" s="140" t="s">
        <v>180</v>
      </c>
      <c r="F5" s="140"/>
      <c r="G5" s="140"/>
      <c r="H5" s="140"/>
      <c r="I5" s="140"/>
      <c r="J5" s="140"/>
      <c r="K5" s="60"/>
      <c r="L5" s="140" t="s">
        <v>181</v>
      </c>
      <c r="M5" s="140"/>
      <c r="N5" s="60"/>
      <c r="O5" s="141" t="s">
        <v>127</v>
      </c>
      <c r="P5" s="140"/>
      <c r="Q5" s="140"/>
    </row>
    <row r="6" spans="1:20" ht="12" customHeight="1" x14ac:dyDescent="0.15">
      <c r="A6" s="64"/>
      <c r="B6" s="65"/>
      <c r="C6" s="65"/>
      <c r="D6" s="59"/>
      <c r="E6" s="65"/>
      <c r="F6" s="65"/>
      <c r="G6" s="65"/>
      <c r="H6" s="65"/>
      <c r="I6" s="65"/>
      <c r="J6" s="65"/>
      <c r="K6" s="60"/>
      <c r="L6" s="64"/>
      <c r="M6" s="64"/>
      <c r="N6" s="60"/>
      <c r="O6" s="64"/>
      <c r="P6" s="64"/>
      <c r="Q6" s="64"/>
    </row>
    <row r="7" spans="1:20" ht="12" customHeight="1" x14ac:dyDescent="0.15">
      <c r="A7" s="60"/>
      <c r="B7" s="59"/>
      <c r="C7" s="59"/>
      <c r="D7" s="59"/>
      <c r="E7" s="59"/>
      <c r="F7" s="59"/>
      <c r="G7" s="59"/>
      <c r="H7" s="59"/>
      <c r="I7" s="59"/>
      <c r="J7" s="59"/>
      <c r="K7" s="60"/>
      <c r="L7" s="66" t="s">
        <v>128</v>
      </c>
      <c r="M7" s="66" t="s">
        <v>129</v>
      </c>
      <c r="N7" s="60"/>
      <c r="O7" s="60"/>
      <c r="P7" s="60"/>
      <c r="Q7" s="60"/>
    </row>
    <row r="8" spans="1:20" ht="12" customHeight="1" x14ac:dyDescent="0.15">
      <c r="A8" s="60"/>
      <c r="B8" s="59"/>
      <c r="C8" s="59"/>
      <c r="D8" s="59"/>
      <c r="E8" s="59"/>
      <c r="F8" s="59"/>
      <c r="G8" s="59"/>
      <c r="H8" s="59"/>
      <c r="I8" s="59"/>
      <c r="J8" s="59"/>
      <c r="K8" s="60"/>
      <c r="L8" s="66" t="s">
        <v>130</v>
      </c>
      <c r="M8" s="66" t="s">
        <v>131</v>
      </c>
      <c r="N8" s="60"/>
      <c r="O8" s="60"/>
      <c r="P8" s="60"/>
      <c r="Q8" s="60"/>
    </row>
    <row r="9" spans="1:20" ht="12" customHeight="1" x14ac:dyDescent="0.15">
      <c r="A9" s="60"/>
      <c r="B9" s="59"/>
      <c r="C9" s="67" t="s">
        <v>130</v>
      </c>
      <c r="D9" s="59"/>
      <c r="E9" s="67" t="s">
        <v>18</v>
      </c>
      <c r="F9" s="59"/>
      <c r="G9" s="59"/>
      <c r="H9" s="59"/>
      <c r="I9" s="59"/>
      <c r="J9" s="67" t="s">
        <v>130</v>
      </c>
      <c r="K9" s="60"/>
      <c r="L9" s="66" t="s">
        <v>132</v>
      </c>
      <c r="M9" s="66" t="s">
        <v>133</v>
      </c>
      <c r="N9" s="60"/>
      <c r="O9" s="60"/>
      <c r="P9" s="60"/>
      <c r="Q9" s="60"/>
    </row>
    <row r="10" spans="1:20" ht="12" customHeight="1" x14ac:dyDescent="0.15">
      <c r="A10" s="60"/>
      <c r="B10" s="59"/>
      <c r="C10" s="67" t="s">
        <v>134</v>
      </c>
      <c r="D10" s="59"/>
      <c r="E10" s="67" t="s">
        <v>135</v>
      </c>
      <c r="F10" s="67" t="s">
        <v>136</v>
      </c>
      <c r="G10" s="67" t="s">
        <v>137</v>
      </c>
      <c r="H10" s="67" t="s">
        <v>134</v>
      </c>
      <c r="I10" s="67" t="s">
        <v>138</v>
      </c>
      <c r="J10" s="67" t="s">
        <v>139</v>
      </c>
      <c r="K10" s="60"/>
      <c r="L10" s="66" t="s">
        <v>140</v>
      </c>
      <c r="M10" s="66" t="s">
        <v>130</v>
      </c>
      <c r="N10" s="60"/>
      <c r="O10" s="66" t="s">
        <v>15</v>
      </c>
      <c r="P10" s="66" t="s">
        <v>141</v>
      </c>
      <c r="Q10" s="66" t="s">
        <v>134</v>
      </c>
      <c r="T10" s="61" t="s">
        <v>182</v>
      </c>
    </row>
    <row r="11" spans="1:20" ht="12" customHeight="1" x14ac:dyDescent="0.15">
      <c r="A11" s="60"/>
      <c r="B11" s="68" t="s">
        <v>15</v>
      </c>
      <c r="C11" s="68" t="s">
        <v>142</v>
      </c>
      <c r="D11" s="59"/>
      <c r="E11" s="68" t="s">
        <v>143</v>
      </c>
      <c r="F11" s="68" t="s">
        <v>144</v>
      </c>
      <c r="G11" s="68" t="s">
        <v>145</v>
      </c>
      <c r="H11" s="68" t="s">
        <v>142</v>
      </c>
      <c r="I11" s="68" t="s">
        <v>146</v>
      </c>
      <c r="J11" s="68" t="s">
        <v>144</v>
      </c>
      <c r="K11" s="60"/>
      <c r="L11" s="69" t="s">
        <v>129</v>
      </c>
      <c r="M11" s="69" t="s">
        <v>147</v>
      </c>
      <c r="N11" s="60"/>
      <c r="O11" s="69" t="s">
        <v>145</v>
      </c>
      <c r="P11" s="69" t="s">
        <v>15</v>
      </c>
      <c r="Q11" s="69" t="s">
        <v>142</v>
      </c>
    </row>
    <row r="12" spans="1:20" ht="12" customHeight="1" x14ac:dyDescent="0.15">
      <c r="A12" s="60"/>
      <c r="B12" s="65"/>
      <c r="C12" s="65"/>
      <c r="D12" s="59"/>
      <c r="E12" s="65"/>
      <c r="F12" s="65"/>
      <c r="G12" s="65"/>
      <c r="H12" s="65"/>
      <c r="I12" s="65"/>
      <c r="J12" s="65"/>
      <c r="K12" s="60"/>
      <c r="L12" s="64"/>
      <c r="M12" s="64"/>
      <c r="N12" s="60"/>
      <c r="O12" s="64"/>
      <c r="P12" s="64"/>
      <c r="Q12" s="64"/>
    </row>
    <row r="13" spans="1:20" ht="12" customHeight="1" x14ac:dyDescent="0.15">
      <c r="A13" s="60" t="s">
        <v>148</v>
      </c>
      <c r="B13" s="70">
        <f>+'Assumptions Summary'!C14*12</f>
        <v>1554604.7999999998</v>
      </c>
      <c r="C13" s="109">
        <f>T13*B13</f>
        <v>233190.71999999997</v>
      </c>
      <c r="D13" s="70"/>
      <c r="E13" s="70">
        <f>(B13-C13)*F13</f>
        <v>145355.54879999999</v>
      </c>
      <c r="F13" s="107">
        <v>0.11</v>
      </c>
      <c r="G13" s="72">
        <f>+F13*B13</f>
        <v>171006.52799999999</v>
      </c>
      <c r="H13" s="72">
        <f>+G13-E13</f>
        <v>25650.979200000002</v>
      </c>
      <c r="I13" s="70">
        <v>224500</v>
      </c>
      <c r="J13" s="73">
        <f>+B13-C13-E13</f>
        <v>1176058.5311999999</v>
      </c>
      <c r="K13" s="74"/>
      <c r="L13" s="108"/>
      <c r="M13" s="75">
        <f>+I13-G13</f>
        <v>53493.472000000009</v>
      </c>
      <c r="N13" s="60"/>
      <c r="O13" s="74"/>
      <c r="P13" s="74"/>
      <c r="Q13" s="74"/>
      <c r="S13" s="71">
        <v>0.05</v>
      </c>
      <c r="T13" s="71">
        <v>0.15</v>
      </c>
    </row>
    <row r="14" spans="1:20" ht="12" customHeight="1" x14ac:dyDescent="0.15">
      <c r="A14" s="60" t="s">
        <v>149</v>
      </c>
      <c r="B14" s="70">
        <v>745690</v>
      </c>
      <c r="C14" s="109">
        <f t="shared" ref="C14:C27" si="0">T14*B14</f>
        <v>149138</v>
      </c>
      <c r="D14" s="70"/>
      <c r="E14" s="70">
        <f t="shared" ref="E14:E27" si="1">(B14-C14)*F14</f>
        <v>387758.8</v>
      </c>
      <c r="F14" s="107">
        <v>0.65</v>
      </c>
      <c r="G14" s="72">
        <f t="shared" ref="G14:G27" si="2">+F14*B14</f>
        <v>484698.5</v>
      </c>
      <c r="H14" s="72">
        <f t="shared" ref="H14:H27" si="3">+G14-E14</f>
        <v>96939.700000000012</v>
      </c>
      <c r="I14" s="70">
        <v>409800</v>
      </c>
      <c r="J14" s="73">
        <f t="shared" ref="J14:J27" si="4">+B14-C14-E14</f>
        <v>208793.2</v>
      </c>
      <c r="K14" s="74"/>
      <c r="L14" s="108">
        <f t="shared" ref="L14:L25" si="5">+G14-I14</f>
        <v>74898.5</v>
      </c>
      <c r="M14" s="75"/>
      <c r="N14" s="60"/>
      <c r="O14" s="74"/>
      <c r="P14" s="74"/>
      <c r="Q14" s="74"/>
      <c r="S14" s="71">
        <v>0.1</v>
      </c>
      <c r="T14" s="71">
        <v>0.2</v>
      </c>
    </row>
    <row r="15" spans="1:20" ht="12" customHeight="1" x14ac:dyDescent="0.15">
      <c r="A15" s="60" t="s">
        <v>150</v>
      </c>
      <c r="B15" s="70">
        <v>460000</v>
      </c>
      <c r="C15" s="109">
        <f t="shared" si="0"/>
        <v>59800</v>
      </c>
      <c r="D15" s="70"/>
      <c r="E15" s="70">
        <f t="shared" si="1"/>
        <v>112056.00000000001</v>
      </c>
      <c r="F15" s="107">
        <v>0.28000000000000003</v>
      </c>
      <c r="G15" s="72">
        <f t="shared" si="2"/>
        <v>128800.00000000001</v>
      </c>
      <c r="H15" s="72">
        <f t="shared" si="3"/>
        <v>16744</v>
      </c>
      <c r="I15" s="70">
        <v>164000</v>
      </c>
      <c r="J15" s="73">
        <f t="shared" si="4"/>
        <v>288144</v>
      </c>
      <c r="K15" s="74"/>
      <c r="L15" s="108"/>
      <c r="M15" s="75">
        <f t="shared" ref="M15:M27" si="6">+I15-G15</f>
        <v>35199.999999999985</v>
      </c>
      <c r="N15" s="60"/>
      <c r="O15" s="74"/>
      <c r="P15" s="74"/>
      <c r="Q15" s="74"/>
      <c r="S15" s="71">
        <v>0.15</v>
      </c>
      <c r="T15" s="71">
        <v>0.13</v>
      </c>
    </row>
    <row r="16" spans="1:20" ht="12" customHeight="1" x14ac:dyDescent="0.15">
      <c r="A16" s="60" t="s">
        <v>151</v>
      </c>
      <c r="B16" s="70">
        <v>800000</v>
      </c>
      <c r="C16" s="109">
        <f t="shared" si="0"/>
        <v>88000</v>
      </c>
      <c r="D16" s="70"/>
      <c r="E16" s="70">
        <f t="shared" si="1"/>
        <v>534000</v>
      </c>
      <c r="F16" s="107">
        <v>0.75</v>
      </c>
      <c r="G16" s="72">
        <f t="shared" si="2"/>
        <v>600000</v>
      </c>
      <c r="H16" s="72">
        <f t="shared" si="3"/>
        <v>66000</v>
      </c>
      <c r="I16" s="70">
        <v>695000</v>
      </c>
      <c r="J16" s="73">
        <f t="shared" si="4"/>
        <v>178000</v>
      </c>
      <c r="K16" s="74"/>
      <c r="L16" s="108"/>
      <c r="M16" s="75">
        <f t="shared" si="6"/>
        <v>95000</v>
      </c>
      <c r="N16" s="60"/>
      <c r="O16" s="74"/>
      <c r="P16" s="74"/>
      <c r="Q16" s="74"/>
      <c r="S16" s="71">
        <v>0.2</v>
      </c>
      <c r="T16" s="71">
        <v>0.11</v>
      </c>
    </row>
    <row r="17" spans="1:20" ht="12" customHeight="1" x14ac:dyDescent="0.15">
      <c r="A17" s="60" t="s">
        <v>152</v>
      </c>
      <c r="B17" s="70">
        <v>925000</v>
      </c>
      <c r="C17" s="109">
        <f t="shared" si="0"/>
        <v>166500</v>
      </c>
      <c r="D17" s="70"/>
      <c r="E17" s="70">
        <f t="shared" si="1"/>
        <v>189625</v>
      </c>
      <c r="F17" s="107">
        <v>0.25</v>
      </c>
      <c r="G17" s="72">
        <f t="shared" si="2"/>
        <v>231250</v>
      </c>
      <c r="H17" s="72">
        <f t="shared" si="3"/>
        <v>41625</v>
      </c>
      <c r="I17" s="70">
        <v>185000</v>
      </c>
      <c r="J17" s="73">
        <f t="shared" si="4"/>
        <v>568875</v>
      </c>
      <c r="K17" s="74"/>
      <c r="L17" s="108">
        <f t="shared" si="5"/>
        <v>46250</v>
      </c>
      <c r="M17" s="75"/>
      <c r="N17" s="60"/>
      <c r="O17" s="74"/>
      <c r="P17" s="74"/>
      <c r="Q17" s="74"/>
      <c r="S17" s="71">
        <v>0.25</v>
      </c>
      <c r="T17" s="71">
        <v>0.18</v>
      </c>
    </row>
    <row r="18" spans="1:20" ht="12" customHeight="1" x14ac:dyDescent="0.15">
      <c r="A18" s="60" t="s">
        <v>153</v>
      </c>
      <c r="B18" s="70">
        <f>+B17*1.3</f>
        <v>1202500</v>
      </c>
      <c r="C18" s="109">
        <f t="shared" si="0"/>
        <v>204425.00000000003</v>
      </c>
      <c r="D18" s="70"/>
      <c r="E18" s="70">
        <f t="shared" si="1"/>
        <v>39923</v>
      </c>
      <c r="F18" s="107">
        <v>0.04</v>
      </c>
      <c r="G18" s="72">
        <f t="shared" si="2"/>
        <v>48100</v>
      </c>
      <c r="H18" s="72">
        <f t="shared" si="3"/>
        <v>8177</v>
      </c>
      <c r="I18" s="70">
        <v>0</v>
      </c>
      <c r="J18" s="73">
        <f t="shared" si="4"/>
        <v>958152</v>
      </c>
      <c r="K18" s="74"/>
      <c r="L18" s="108">
        <f t="shared" si="5"/>
        <v>48100</v>
      </c>
      <c r="M18" s="75"/>
      <c r="N18" s="60"/>
      <c r="O18" s="74"/>
      <c r="P18" s="74"/>
      <c r="Q18" s="74"/>
      <c r="S18" s="71">
        <v>0.3</v>
      </c>
      <c r="T18" s="71">
        <v>0.17</v>
      </c>
    </row>
    <row r="19" spans="1:20" ht="12" customHeight="1" x14ac:dyDescent="0.15">
      <c r="A19" s="60" t="s">
        <v>154</v>
      </c>
      <c r="B19" s="70">
        <f>+B18*0.8</f>
        <v>962000</v>
      </c>
      <c r="C19" s="109">
        <f t="shared" si="0"/>
        <v>153920</v>
      </c>
      <c r="D19" s="70"/>
      <c r="E19" s="70">
        <f t="shared" si="1"/>
        <v>775756.79999999993</v>
      </c>
      <c r="F19" s="107">
        <v>0.96</v>
      </c>
      <c r="G19" s="72">
        <f t="shared" si="2"/>
        <v>923520</v>
      </c>
      <c r="H19" s="72">
        <f t="shared" si="3"/>
        <v>147763.20000000007</v>
      </c>
      <c r="I19" s="70">
        <v>1005000</v>
      </c>
      <c r="J19" s="73">
        <f t="shared" si="4"/>
        <v>32323.20000000007</v>
      </c>
      <c r="K19" s="74"/>
      <c r="L19" s="108"/>
      <c r="M19" s="75">
        <f t="shared" si="6"/>
        <v>81480</v>
      </c>
      <c r="N19" s="60"/>
      <c r="O19" s="74"/>
      <c r="P19" s="74"/>
      <c r="Q19" s="74"/>
      <c r="S19" s="71">
        <v>0.35</v>
      </c>
      <c r="T19" s="71">
        <v>0.16</v>
      </c>
    </row>
    <row r="20" spans="1:20" ht="12" customHeight="1" x14ac:dyDescent="0.15">
      <c r="A20" s="60" t="s">
        <v>155</v>
      </c>
      <c r="B20" s="70">
        <f t="shared" ref="B20:B27" si="7">+B19*0.8</f>
        <v>769600</v>
      </c>
      <c r="C20" s="109">
        <f t="shared" si="0"/>
        <v>92352</v>
      </c>
      <c r="D20" s="70"/>
      <c r="E20" s="70">
        <f t="shared" si="1"/>
        <v>541798.40000000002</v>
      </c>
      <c r="F20" s="107">
        <v>0.8</v>
      </c>
      <c r="G20" s="72">
        <f t="shared" si="2"/>
        <v>615680</v>
      </c>
      <c r="H20" s="72">
        <f t="shared" si="3"/>
        <v>73881.599999999977</v>
      </c>
      <c r="I20" s="70">
        <v>725000</v>
      </c>
      <c r="J20" s="73">
        <f t="shared" si="4"/>
        <v>135449.59999999998</v>
      </c>
      <c r="K20" s="74"/>
      <c r="L20" s="108"/>
      <c r="M20" s="75">
        <f t="shared" si="6"/>
        <v>109320</v>
      </c>
      <c r="N20" s="60"/>
      <c r="O20" s="74"/>
      <c r="P20" s="74"/>
      <c r="Q20" s="74"/>
      <c r="S20" s="71">
        <v>0.4</v>
      </c>
      <c r="T20" s="71">
        <v>0.12</v>
      </c>
    </row>
    <row r="21" spans="1:20" ht="12" customHeight="1" x14ac:dyDescent="0.15">
      <c r="A21" s="60" t="s">
        <v>156</v>
      </c>
      <c r="B21" s="70">
        <f t="shared" si="7"/>
        <v>615680</v>
      </c>
      <c r="C21" s="109">
        <f t="shared" si="0"/>
        <v>104665.60000000001</v>
      </c>
      <c r="D21" s="70"/>
      <c r="E21" s="70">
        <f t="shared" si="1"/>
        <v>178855.04000000001</v>
      </c>
      <c r="F21" s="107">
        <v>0.35</v>
      </c>
      <c r="G21" s="72">
        <f t="shared" si="2"/>
        <v>215488</v>
      </c>
      <c r="H21" s="72">
        <f t="shared" si="3"/>
        <v>36632.959999999992</v>
      </c>
      <c r="I21" s="70">
        <v>246800</v>
      </c>
      <c r="J21" s="73">
        <f t="shared" si="4"/>
        <v>332159.35999999999</v>
      </c>
      <c r="K21" s="74"/>
      <c r="L21" s="108"/>
      <c r="M21" s="75">
        <f t="shared" si="6"/>
        <v>31312</v>
      </c>
      <c r="N21" s="60"/>
      <c r="O21" s="74"/>
      <c r="P21" s="74"/>
      <c r="Q21" s="74"/>
      <c r="S21" s="71">
        <v>0.45</v>
      </c>
      <c r="T21" s="71">
        <v>0.17</v>
      </c>
    </row>
    <row r="22" spans="1:20" ht="12" customHeight="1" x14ac:dyDescent="0.15">
      <c r="A22" s="60" t="s">
        <v>157</v>
      </c>
      <c r="B22" s="70">
        <v>700000</v>
      </c>
      <c r="C22" s="109">
        <f t="shared" si="0"/>
        <v>91000</v>
      </c>
      <c r="D22" s="70"/>
      <c r="E22" s="70">
        <f t="shared" si="1"/>
        <v>401940</v>
      </c>
      <c r="F22" s="107">
        <v>0.66</v>
      </c>
      <c r="G22" s="72">
        <f t="shared" si="2"/>
        <v>462000</v>
      </c>
      <c r="H22" s="72">
        <f t="shared" si="3"/>
        <v>60060</v>
      </c>
      <c r="I22" s="70">
        <v>500000</v>
      </c>
      <c r="J22" s="73">
        <f t="shared" si="4"/>
        <v>207060</v>
      </c>
      <c r="K22" s="74"/>
      <c r="L22" s="108"/>
      <c r="M22" s="75">
        <f t="shared" si="6"/>
        <v>38000</v>
      </c>
      <c r="N22" s="60"/>
      <c r="O22" s="74"/>
      <c r="P22" s="74"/>
      <c r="Q22" s="74"/>
      <c r="S22" s="71">
        <v>0.5</v>
      </c>
      <c r="T22" s="71">
        <v>0.13</v>
      </c>
    </row>
    <row r="23" spans="1:20" ht="12" customHeight="1" x14ac:dyDescent="0.15">
      <c r="A23" s="60" t="s">
        <v>158</v>
      </c>
      <c r="B23" s="70">
        <v>320000</v>
      </c>
      <c r="C23" s="109">
        <f t="shared" si="0"/>
        <v>52800</v>
      </c>
      <c r="D23" s="70"/>
      <c r="E23" s="70">
        <f t="shared" si="1"/>
        <v>120240</v>
      </c>
      <c r="F23" s="107">
        <v>0.45</v>
      </c>
      <c r="G23" s="72">
        <f t="shared" si="2"/>
        <v>144000</v>
      </c>
      <c r="H23" s="72">
        <f t="shared" si="3"/>
        <v>23760</v>
      </c>
      <c r="I23" s="70">
        <v>184675</v>
      </c>
      <c r="J23" s="73">
        <f t="shared" si="4"/>
        <v>146960</v>
      </c>
      <c r="K23" s="74"/>
      <c r="L23" s="108"/>
      <c r="M23" s="75">
        <f t="shared" si="6"/>
        <v>40675</v>
      </c>
      <c r="N23" s="60"/>
      <c r="O23" s="74"/>
      <c r="P23" s="74"/>
      <c r="Q23" s="74"/>
      <c r="S23" s="71">
        <v>0.55000000000000004</v>
      </c>
      <c r="T23" s="71">
        <v>0.16500000000000001</v>
      </c>
    </row>
    <row r="24" spans="1:20" ht="12" customHeight="1" x14ac:dyDescent="0.15">
      <c r="A24" s="60" t="s">
        <v>159</v>
      </c>
      <c r="B24" s="70">
        <f t="shared" si="7"/>
        <v>256000</v>
      </c>
      <c r="C24" s="109">
        <f t="shared" si="0"/>
        <v>44800</v>
      </c>
      <c r="D24" s="70"/>
      <c r="E24" s="70">
        <f t="shared" si="1"/>
        <v>63360</v>
      </c>
      <c r="F24" s="107">
        <v>0.3</v>
      </c>
      <c r="G24" s="72">
        <f t="shared" si="2"/>
        <v>76800</v>
      </c>
      <c r="H24" s="72">
        <f t="shared" si="3"/>
        <v>13440</v>
      </c>
      <c r="I24" s="70">
        <v>133873</v>
      </c>
      <c r="J24" s="73">
        <f t="shared" si="4"/>
        <v>147840</v>
      </c>
      <c r="K24" s="74"/>
      <c r="L24" s="108"/>
      <c r="M24" s="75">
        <f t="shared" si="6"/>
        <v>57073</v>
      </c>
      <c r="N24" s="60"/>
      <c r="O24" s="74"/>
      <c r="P24" s="74"/>
      <c r="Q24" s="74"/>
      <c r="S24" s="71">
        <v>0.6</v>
      </c>
      <c r="T24" s="71">
        <v>0.17499999999999999</v>
      </c>
    </row>
    <row r="25" spans="1:20" ht="12" customHeight="1" x14ac:dyDescent="0.15">
      <c r="A25" s="60" t="s">
        <v>160</v>
      </c>
      <c r="B25" s="70">
        <v>750000</v>
      </c>
      <c r="C25" s="109">
        <f t="shared" si="0"/>
        <v>105000.00000000001</v>
      </c>
      <c r="D25" s="70"/>
      <c r="E25" s="70">
        <f t="shared" si="1"/>
        <v>96750</v>
      </c>
      <c r="F25" s="107">
        <v>0.15</v>
      </c>
      <c r="G25" s="72">
        <f t="shared" si="2"/>
        <v>112500</v>
      </c>
      <c r="H25" s="72">
        <f t="shared" si="3"/>
        <v>15750</v>
      </c>
      <c r="I25" s="70">
        <f>65514-7208</f>
        <v>58306</v>
      </c>
      <c r="J25" s="73">
        <f t="shared" si="4"/>
        <v>548250</v>
      </c>
      <c r="K25" s="74"/>
      <c r="L25" s="108">
        <f t="shared" si="5"/>
        <v>54194</v>
      </c>
      <c r="M25" s="75"/>
      <c r="N25" s="60"/>
      <c r="O25" s="74"/>
      <c r="P25" s="74"/>
      <c r="Q25" s="74"/>
      <c r="S25" s="71">
        <v>0.65</v>
      </c>
      <c r="T25" s="71">
        <v>0.14000000000000001</v>
      </c>
    </row>
    <row r="26" spans="1:20" ht="12" customHeight="1" x14ac:dyDescent="0.15">
      <c r="A26" s="60" t="s">
        <v>161</v>
      </c>
      <c r="B26" s="70">
        <f t="shared" si="7"/>
        <v>600000</v>
      </c>
      <c r="C26" s="109">
        <f t="shared" si="0"/>
        <v>66000</v>
      </c>
      <c r="D26" s="70"/>
      <c r="E26" s="70">
        <f t="shared" si="1"/>
        <v>357780</v>
      </c>
      <c r="F26" s="107">
        <v>0.67</v>
      </c>
      <c r="G26" s="72">
        <f t="shared" si="2"/>
        <v>402000</v>
      </c>
      <c r="H26" s="72">
        <f t="shared" si="3"/>
        <v>44220</v>
      </c>
      <c r="I26" s="70">
        <v>500486</v>
      </c>
      <c r="J26" s="73">
        <f t="shared" si="4"/>
        <v>176220</v>
      </c>
      <c r="K26" s="74"/>
      <c r="L26" s="108"/>
      <c r="M26" s="75">
        <f t="shared" si="6"/>
        <v>98486</v>
      </c>
      <c r="N26" s="60"/>
      <c r="O26" s="74"/>
      <c r="P26" s="74"/>
      <c r="Q26" s="74"/>
      <c r="S26" s="71">
        <v>0.7</v>
      </c>
      <c r="T26" s="71">
        <v>0.11</v>
      </c>
    </row>
    <row r="27" spans="1:20" ht="12" customHeight="1" x14ac:dyDescent="0.15">
      <c r="A27" s="60" t="s">
        <v>162</v>
      </c>
      <c r="B27" s="70">
        <f t="shared" si="7"/>
        <v>480000</v>
      </c>
      <c r="C27" s="109">
        <f t="shared" si="0"/>
        <v>86400</v>
      </c>
      <c r="D27" s="70"/>
      <c r="E27" s="70">
        <f t="shared" si="1"/>
        <v>236160</v>
      </c>
      <c r="F27" s="107">
        <v>0.6</v>
      </c>
      <c r="G27" s="72">
        <f t="shared" si="2"/>
        <v>288000</v>
      </c>
      <c r="H27" s="72">
        <f t="shared" si="3"/>
        <v>51840</v>
      </c>
      <c r="I27" s="70">
        <v>368745</v>
      </c>
      <c r="J27" s="73">
        <f t="shared" si="4"/>
        <v>157440</v>
      </c>
      <c r="K27" s="74"/>
      <c r="L27" s="108"/>
      <c r="M27" s="75">
        <f t="shared" si="6"/>
        <v>80745</v>
      </c>
      <c r="N27" s="60"/>
      <c r="O27" s="74"/>
      <c r="P27" s="74"/>
      <c r="Q27" s="74"/>
      <c r="S27" s="71">
        <v>0.75</v>
      </c>
      <c r="T27" s="71">
        <v>0.18</v>
      </c>
    </row>
    <row r="28" spans="1:20" ht="12" customHeight="1" x14ac:dyDescent="0.15">
      <c r="A28" s="60"/>
      <c r="B28" s="79"/>
      <c r="C28" s="79"/>
      <c r="D28" s="70"/>
      <c r="E28" s="70"/>
      <c r="F28" s="73"/>
      <c r="G28" s="73"/>
      <c r="H28" s="73"/>
      <c r="I28" s="70"/>
      <c r="J28" s="73"/>
      <c r="K28" s="74"/>
      <c r="L28" s="74"/>
      <c r="M28" s="77"/>
      <c r="N28" s="60"/>
      <c r="O28" s="74"/>
      <c r="P28" s="74"/>
      <c r="Q28" s="74"/>
    </row>
    <row r="29" spans="1:20" ht="12" customHeight="1" x14ac:dyDescent="0.15">
      <c r="B29" s="70"/>
      <c r="C29" s="70"/>
      <c r="D29" s="70"/>
      <c r="E29" s="70"/>
      <c r="F29" s="76"/>
      <c r="G29" s="76"/>
      <c r="H29" s="76"/>
      <c r="I29" s="70"/>
      <c r="J29" s="76"/>
      <c r="K29" s="74"/>
      <c r="L29" s="74"/>
      <c r="M29" s="78"/>
      <c r="N29" s="60"/>
      <c r="O29" s="74"/>
      <c r="P29" s="74"/>
      <c r="Q29" s="74"/>
    </row>
    <row r="30" spans="1:20" ht="12" customHeight="1" x14ac:dyDescent="0.15">
      <c r="A30" s="60"/>
      <c r="B30" s="80"/>
      <c r="C30" s="80"/>
      <c r="D30" s="70"/>
      <c r="E30" s="81"/>
      <c r="F30" s="76"/>
      <c r="G30" s="81"/>
      <c r="H30" s="80"/>
      <c r="I30" s="80"/>
      <c r="J30" s="80"/>
      <c r="K30" s="74"/>
      <c r="L30" s="82"/>
      <c r="M30" s="82"/>
      <c r="N30" s="60"/>
      <c r="O30" s="82"/>
      <c r="P30" s="82"/>
      <c r="Q30" s="82"/>
    </row>
    <row r="31" spans="1:20" ht="12" customHeight="1" x14ac:dyDescent="0.15">
      <c r="A31" s="60"/>
      <c r="B31" s="83"/>
      <c r="C31" s="83"/>
      <c r="D31" s="70"/>
      <c r="E31" s="83"/>
      <c r="F31" s="76"/>
      <c r="G31" s="83"/>
      <c r="H31" s="83"/>
      <c r="I31" s="83"/>
      <c r="J31" s="83"/>
      <c r="K31" s="74"/>
      <c r="L31" s="84"/>
      <c r="M31" s="84"/>
      <c r="N31" s="60"/>
      <c r="O31" s="64"/>
      <c r="P31" s="64"/>
      <c r="Q31" s="64"/>
    </row>
    <row r="32" spans="1:20" ht="13" x14ac:dyDescent="0.15">
      <c r="A32" s="60"/>
      <c r="B32" s="76">
        <f>SUM(B13:B30)</f>
        <v>11141074.800000001</v>
      </c>
      <c r="C32" s="76">
        <f>SUM(C13:C30)</f>
        <v>1697991.32</v>
      </c>
      <c r="D32" s="76"/>
      <c r="E32" s="76">
        <f>SUM(E13:E30)</f>
        <v>4181358.5888</v>
      </c>
      <c r="F32" s="76"/>
      <c r="G32" s="76">
        <f>SUM(G13:G30)</f>
        <v>4903843.0279999999</v>
      </c>
      <c r="H32" s="76">
        <f>SUM(H13:H30)</f>
        <v>722484.43920000002</v>
      </c>
      <c r="I32" s="76">
        <f>SUM(I13:I30)</f>
        <v>5401185</v>
      </c>
      <c r="J32" s="76">
        <f>SUM(J13:J30)</f>
        <v>5261724.8912000004</v>
      </c>
      <c r="K32" s="76"/>
      <c r="L32" s="76">
        <f>SUM(L13:L30)</f>
        <v>223442.5</v>
      </c>
      <c r="M32" s="76">
        <f>SUM(M13:M30)</f>
        <v>720784.47200000007</v>
      </c>
      <c r="N32" s="59"/>
      <c r="O32" s="76">
        <f>SUM(O11:O30)</f>
        <v>0</v>
      </c>
      <c r="P32" s="76">
        <f>SUM(P15:P30)</f>
        <v>0</v>
      </c>
      <c r="Q32" s="76">
        <f>SUM(Q13:Q30)</f>
        <v>0</v>
      </c>
      <c r="T32" s="92">
        <f>+C32/B32</f>
        <v>0.15240821469038157</v>
      </c>
    </row>
    <row r="33" spans="1:17" ht="13" x14ac:dyDescent="0.15">
      <c r="A33" s="59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59"/>
      <c r="O33" s="76"/>
      <c r="P33" s="76"/>
      <c r="Q33" s="76"/>
    </row>
    <row r="34" spans="1:17" ht="13" x14ac:dyDescent="0.15">
      <c r="A34" s="59"/>
      <c r="B34" s="76"/>
      <c r="C34" s="76"/>
      <c r="D34" s="76"/>
      <c r="E34" s="76"/>
      <c r="F34" s="76"/>
      <c r="G34" s="76"/>
      <c r="H34" s="76"/>
      <c r="I34" s="76" t="s">
        <v>202</v>
      </c>
      <c r="J34" s="76"/>
      <c r="K34" s="76"/>
      <c r="L34" s="76">
        <f>+'BS Actual &amp; Forecast'!V13</f>
        <v>223442.99291607447</v>
      </c>
      <c r="M34" s="76">
        <f>+'BS Actual &amp; Forecast'!V33</f>
        <v>720783.84811636922</v>
      </c>
      <c r="N34" s="59"/>
      <c r="O34" s="76"/>
      <c r="P34" s="76"/>
      <c r="Q34" s="76"/>
    </row>
    <row r="35" spans="1:17" ht="13" x14ac:dyDescent="0.15">
      <c r="A35" s="59"/>
      <c r="B35" s="76"/>
      <c r="C35" s="76"/>
      <c r="D35" s="76"/>
      <c r="E35" s="76"/>
      <c r="F35" s="76"/>
      <c r="G35" s="76"/>
      <c r="H35" s="76"/>
      <c r="I35" s="76"/>
      <c r="J35" s="76"/>
      <c r="K35" s="78"/>
      <c r="L35" s="78"/>
      <c r="M35" s="78"/>
      <c r="N35" s="60"/>
      <c r="O35" s="78"/>
      <c r="P35" s="78"/>
      <c r="Q35" s="78"/>
    </row>
    <row r="36" spans="1:17" ht="13" x14ac:dyDescent="0.15">
      <c r="A36" s="59"/>
      <c r="B36" s="76">
        <f>+B32/15</f>
        <v>742738.32000000007</v>
      </c>
      <c r="C36" s="76">
        <f>+C32/15</f>
        <v>113199.42133333333</v>
      </c>
      <c r="D36" s="76"/>
      <c r="E36" s="76"/>
      <c r="F36" s="76"/>
      <c r="G36" s="76"/>
      <c r="H36" s="76"/>
      <c r="I36" s="76" t="s">
        <v>203</v>
      </c>
      <c r="J36" s="76"/>
      <c r="K36" s="78"/>
      <c r="L36" s="78"/>
      <c r="M36" s="78">
        <v>490000</v>
      </c>
      <c r="N36" s="60"/>
      <c r="O36" s="78"/>
      <c r="P36" s="78"/>
      <c r="Q36" s="78"/>
    </row>
    <row r="37" spans="1:17" ht="13" x14ac:dyDescent="0.15">
      <c r="A37" s="59"/>
      <c r="B37" s="76"/>
      <c r="C37" s="76"/>
      <c r="D37" s="76"/>
      <c r="E37" s="76"/>
      <c r="F37" s="76"/>
      <c r="G37" s="76"/>
      <c r="H37" s="78"/>
      <c r="I37" s="78"/>
      <c r="J37" s="78"/>
      <c r="K37" s="78"/>
      <c r="L37" s="78"/>
      <c r="M37" s="78"/>
      <c r="N37" s="60"/>
      <c r="O37" s="78"/>
      <c r="P37" s="78"/>
      <c r="Q37" s="78"/>
    </row>
    <row r="38" spans="1:17" ht="13" x14ac:dyDescent="0.15">
      <c r="A38" s="59"/>
      <c r="B38" s="76"/>
      <c r="C38" s="76"/>
      <c r="D38" s="76"/>
      <c r="E38" s="76"/>
      <c r="F38" s="76"/>
      <c r="G38" s="76"/>
      <c r="H38" s="78"/>
      <c r="I38" s="78"/>
      <c r="J38" s="78"/>
      <c r="K38" s="78"/>
      <c r="L38" s="78"/>
      <c r="M38" s="78"/>
      <c r="N38" s="60"/>
      <c r="O38" s="78"/>
      <c r="P38" s="78"/>
      <c r="Q38" s="78"/>
    </row>
    <row r="39" spans="1:17" ht="13" x14ac:dyDescent="0.15">
      <c r="A39" s="59"/>
      <c r="B39" s="76"/>
      <c r="C39" s="76"/>
      <c r="D39" s="76"/>
      <c r="E39" s="76"/>
      <c r="F39" s="76"/>
      <c r="G39" s="76"/>
      <c r="H39" s="78"/>
      <c r="I39" s="78"/>
      <c r="J39" s="78"/>
      <c r="K39" s="78"/>
      <c r="L39" s="78"/>
      <c r="M39" s="78"/>
      <c r="N39" s="60"/>
      <c r="O39" s="78"/>
      <c r="P39" s="78"/>
      <c r="Q39" s="78"/>
    </row>
    <row r="40" spans="1:17" ht="13" x14ac:dyDescent="0.15">
      <c r="A40" s="59"/>
      <c r="B40" s="76"/>
      <c r="C40" s="76"/>
      <c r="D40" s="76"/>
      <c r="E40" s="76"/>
      <c r="F40" s="76"/>
      <c r="G40" s="76"/>
      <c r="H40" s="78"/>
      <c r="I40" s="78"/>
      <c r="J40" s="78"/>
      <c r="K40" s="78"/>
      <c r="L40" s="78"/>
      <c r="M40" s="78"/>
      <c r="N40" s="60"/>
      <c r="O40" s="78"/>
      <c r="P40" s="78"/>
      <c r="Q40" s="78"/>
    </row>
    <row r="41" spans="1:17" ht="13" x14ac:dyDescent="0.15">
      <c r="A41" s="59"/>
      <c r="B41" s="76"/>
      <c r="C41" s="76"/>
      <c r="D41" s="76"/>
      <c r="E41" s="76"/>
      <c r="F41" s="76"/>
      <c r="G41" s="76"/>
      <c r="H41" s="78"/>
      <c r="I41" s="78"/>
      <c r="J41" s="78"/>
      <c r="K41" s="78"/>
      <c r="L41" s="78"/>
      <c r="M41" s="78"/>
      <c r="N41" s="60"/>
      <c r="O41" s="78"/>
      <c r="P41" s="78"/>
      <c r="Q41" s="78"/>
    </row>
    <row r="42" spans="1:17" ht="13" x14ac:dyDescent="0.15">
      <c r="A42" s="60"/>
      <c r="B42" s="78"/>
      <c r="C42" s="78"/>
      <c r="D42" s="76"/>
      <c r="E42" s="78"/>
      <c r="F42" s="78"/>
      <c r="G42" s="78"/>
      <c r="H42" s="78"/>
      <c r="I42" s="78"/>
      <c r="J42" s="78"/>
      <c r="K42" s="78"/>
      <c r="L42" s="78"/>
      <c r="M42" s="78"/>
      <c r="N42" s="60"/>
      <c r="O42" s="78"/>
      <c r="P42" s="78"/>
      <c r="Q42" s="78"/>
    </row>
    <row r="43" spans="1:17" ht="13" x14ac:dyDescent="0.15">
      <c r="A43" s="60"/>
      <c r="B43" s="78"/>
      <c r="C43" s="78"/>
      <c r="D43" s="76"/>
      <c r="E43" s="78"/>
      <c r="F43" s="78"/>
      <c r="G43" s="78"/>
      <c r="H43" s="78"/>
      <c r="I43" s="78"/>
      <c r="J43" s="78"/>
      <c r="K43" s="78"/>
      <c r="L43" s="78"/>
      <c r="M43" s="78"/>
      <c r="N43" s="60"/>
      <c r="O43" s="78"/>
      <c r="P43" s="78"/>
      <c r="Q43" s="78"/>
    </row>
    <row r="44" spans="1:17" ht="13" x14ac:dyDescent="0.15">
      <c r="A44" s="60"/>
      <c r="B44" s="78"/>
      <c r="C44" s="78"/>
      <c r="D44" s="76"/>
      <c r="E44" s="78"/>
      <c r="F44" s="78"/>
      <c r="G44" s="78"/>
      <c r="H44" s="78"/>
      <c r="I44" s="78"/>
      <c r="J44" s="78"/>
      <c r="K44" s="78"/>
      <c r="L44" s="78"/>
      <c r="M44" s="78"/>
      <c r="N44" s="60"/>
      <c r="O44" s="78"/>
      <c r="P44" s="78"/>
      <c r="Q44" s="78"/>
    </row>
    <row r="45" spans="1:17" ht="13" x14ac:dyDescent="0.15">
      <c r="A45" s="60"/>
      <c r="B45" s="78"/>
      <c r="C45" s="78"/>
      <c r="D45" s="76"/>
      <c r="E45" s="78"/>
      <c r="F45" s="78"/>
      <c r="G45" s="78"/>
      <c r="H45" s="78"/>
      <c r="I45" s="78"/>
      <c r="J45" s="78"/>
      <c r="K45" s="78"/>
      <c r="L45" s="78"/>
      <c r="M45" s="78"/>
      <c r="N45" s="60"/>
      <c r="O45" s="78"/>
      <c r="P45" s="78"/>
      <c r="Q45" s="78"/>
    </row>
    <row r="46" spans="1:17" ht="13" x14ac:dyDescent="0.15">
      <c r="A46" s="60"/>
      <c r="B46" s="78"/>
      <c r="C46" s="78"/>
      <c r="D46" s="76"/>
      <c r="E46" s="78"/>
      <c r="F46" s="78"/>
      <c r="G46" s="78"/>
      <c r="H46" s="78"/>
      <c r="I46" s="78"/>
      <c r="J46" s="78"/>
      <c r="K46" s="78"/>
      <c r="L46" s="78"/>
      <c r="M46" s="78"/>
      <c r="N46" s="60"/>
      <c r="O46" s="78"/>
      <c r="P46" s="78"/>
      <c r="Q46" s="78"/>
    </row>
    <row r="47" spans="1:17" ht="13" x14ac:dyDescent="0.15">
      <c r="A47" s="60"/>
      <c r="B47" s="78"/>
      <c r="C47" s="78"/>
      <c r="D47" s="76"/>
      <c r="E47" s="78"/>
      <c r="F47" s="78"/>
      <c r="G47" s="78"/>
      <c r="H47" s="78"/>
      <c r="I47" s="78"/>
      <c r="J47" s="78"/>
      <c r="K47" s="78"/>
      <c r="L47" s="78"/>
      <c r="M47" s="78"/>
      <c r="N47" s="60"/>
      <c r="O47" s="78"/>
      <c r="P47" s="78"/>
      <c r="Q47" s="78"/>
    </row>
    <row r="48" spans="1:17" ht="13" x14ac:dyDescent="0.15">
      <c r="A48" s="60"/>
      <c r="B48" s="78"/>
      <c r="C48" s="78"/>
      <c r="D48" s="76"/>
      <c r="E48" s="78"/>
      <c r="F48" s="78"/>
      <c r="G48" s="78"/>
      <c r="H48" s="78"/>
      <c r="I48" s="78"/>
      <c r="J48" s="78"/>
      <c r="K48" s="78"/>
      <c r="L48" s="78"/>
      <c r="M48" s="78"/>
      <c r="N48" s="60"/>
      <c r="O48" s="78"/>
      <c r="P48" s="78"/>
      <c r="Q48" s="78"/>
    </row>
    <row r="49" spans="1:17" ht="13" x14ac:dyDescent="0.15">
      <c r="A49" s="60"/>
      <c r="B49" s="78"/>
      <c r="C49" s="78"/>
      <c r="D49" s="76"/>
      <c r="E49" s="78"/>
      <c r="F49" s="78"/>
      <c r="G49" s="78"/>
      <c r="H49" s="78"/>
      <c r="I49" s="78"/>
      <c r="J49" s="78"/>
      <c r="K49" s="78"/>
      <c r="L49" s="78"/>
      <c r="M49" s="78"/>
      <c r="N49" s="60"/>
      <c r="O49" s="78"/>
      <c r="P49" s="78"/>
      <c r="Q49" s="78"/>
    </row>
    <row r="50" spans="1:17" ht="13" x14ac:dyDescent="0.15">
      <c r="A50" s="60"/>
      <c r="B50" s="78"/>
      <c r="C50" s="78"/>
      <c r="D50" s="76"/>
      <c r="E50" s="78"/>
      <c r="F50" s="78"/>
      <c r="G50" s="78"/>
      <c r="H50" s="78"/>
      <c r="I50" s="78"/>
      <c r="J50" s="78"/>
      <c r="K50" s="78"/>
      <c r="L50" s="78"/>
      <c r="M50" s="78"/>
      <c r="N50" s="60"/>
      <c r="O50" s="78"/>
      <c r="P50" s="78"/>
      <c r="Q50" s="78"/>
    </row>
    <row r="51" spans="1:17" ht="13" x14ac:dyDescent="0.15">
      <c r="A51" s="60"/>
      <c r="B51" s="78"/>
      <c r="C51" s="78"/>
      <c r="D51" s="76"/>
      <c r="E51" s="78"/>
      <c r="F51" s="78"/>
      <c r="G51" s="78"/>
      <c r="H51" s="78"/>
      <c r="I51" s="78"/>
      <c r="J51" s="78"/>
      <c r="K51" s="78"/>
      <c r="L51" s="78"/>
      <c r="M51" s="78"/>
      <c r="N51" s="95"/>
      <c r="O51" s="78"/>
      <c r="P51" s="78"/>
      <c r="Q51" s="78"/>
    </row>
    <row r="52" spans="1:17" ht="13" x14ac:dyDescent="0.15">
      <c r="A52" s="60"/>
      <c r="B52" s="78"/>
      <c r="C52" s="78"/>
      <c r="D52" s="76"/>
      <c r="E52" s="78"/>
      <c r="F52" s="78"/>
      <c r="G52" s="78"/>
      <c r="H52" s="78"/>
      <c r="I52" s="78"/>
      <c r="J52" s="78"/>
      <c r="K52" s="78"/>
      <c r="L52" s="78"/>
      <c r="M52" s="78"/>
      <c r="N52" s="95"/>
      <c r="O52" s="78"/>
      <c r="P52" s="78"/>
      <c r="Q52" s="78"/>
    </row>
    <row r="53" spans="1:17" ht="12.75" customHeight="1" x14ac:dyDescent="0.15">
      <c r="B53" s="78"/>
      <c r="C53" s="78"/>
      <c r="D53" s="76"/>
      <c r="E53" s="78"/>
      <c r="F53" s="78"/>
      <c r="G53" s="78"/>
      <c r="H53" s="78"/>
      <c r="I53" s="78"/>
      <c r="J53" s="78"/>
      <c r="K53" s="78"/>
      <c r="L53" s="78"/>
      <c r="M53" s="78"/>
      <c r="N53" s="95"/>
      <c r="O53" s="78"/>
      <c r="P53" s="78"/>
      <c r="Q53" s="78"/>
    </row>
    <row r="54" spans="1:17" ht="12.75" customHeight="1" x14ac:dyDescent="0.15">
      <c r="B54" s="78"/>
      <c r="C54" s="78"/>
      <c r="D54" s="76"/>
      <c r="E54" s="78"/>
      <c r="F54" s="78"/>
      <c r="G54" s="78"/>
      <c r="H54" s="78"/>
      <c r="I54" s="78"/>
      <c r="J54" s="78"/>
      <c r="K54" s="78"/>
      <c r="L54" s="78"/>
      <c r="M54" s="78"/>
      <c r="N54" s="95"/>
      <c r="O54" s="78"/>
      <c r="P54" s="78"/>
      <c r="Q54" s="78"/>
    </row>
    <row r="55" spans="1:17" ht="12.75" customHeight="1" x14ac:dyDescent="0.15">
      <c r="B55" s="78"/>
      <c r="C55" s="78"/>
      <c r="D55" s="76"/>
      <c r="E55" s="78"/>
      <c r="F55" s="78"/>
      <c r="G55" s="78"/>
      <c r="H55" s="78"/>
      <c r="I55" s="78"/>
      <c r="J55" s="78"/>
      <c r="K55" s="78"/>
      <c r="L55" s="78"/>
      <c r="M55" s="78"/>
      <c r="N55" s="95"/>
      <c r="O55" s="78"/>
      <c r="P55" s="78"/>
      <c r="Q55" s="78"/>
    </row>
    <row r="56" spans="1:17" ht="12.75" customHeight="1" x14ac:dyDescent="0.15">
      <c r="B56" s="78"/>
      <c r="C56" s="78"/>
      <c r="D56" s="76"/>
      <c r="E56" s="78"/>
      <c r="F56" s="78"/>
      <c r="G56" s="78"/>
      <c r="H56" s="78"/>
      <c r="I56" s="78"/>
      <c r="J56" s="78"/>
      <c r="K56" s="78"/>
      <c r="L56" s="78"/>
      <c r="M56" s="78"/>
      <c r="N56" s="95"/>
      <c r="O56" s="78"/>
      <c r="P56" s="78"/>
      <c r="Q56" s="78"/>
    </row>
    <row r="57" spans="1:17" ht="12.75" customHeight="1" x14ac:dyDescent="0.15">
      <c r="B57" s="78"/>
      <c r="C57" s="78"/>
      <c r="D57" s="76"/>
      <c r="E57" s="78"/>
      <c r="F57" s="78"/>
      <c r="G57" s="78"/>
      <c r="H57" s="78"/>
      <c r="I57" s="78"/>
      <c r="J57" s="78"/>
      <c r="K57" s="78"/>
      <c r="L57" s="78"/>
      <c r="M57" s="78"/>
      <c r="N57" s="95"/>
      <c r="O57" s="78"/>
      <c r="P57" s="78"/>
      <c r="Q57" s="78"/>
    </row>
  </sheetData>
  <mergeCells count="5">
    <mergeCell ref="O4:Q4"/>
    <mergeCell ref="B5:C5"/>
    <mergeCell ref="E5:J5"/>
    <mergeCell ref="L5:M5"/>
    <mergeCell ref="O5:Q5"/>
  </mergeCells>
  <pageMargins left="0.7" right="0.7" top="0.75" bottom="0.75" header="0.3" footer="0.3"/>
  <pageSetup scale="6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AQ51"/>
  <sheetViews>
    <sheetView workbookViewId="0">
      <pane xSplit="2" ySplit="7" topLeftCell="U17" activePane="bottomRight" state="frozen"/>
      <selection activeCell="N4" sqref="N4"/>
      <selection pane="topRight" activeCell="N4" sqref="N4"/>
      <selection pane="bottomLeft" activeCell="N4" sqref="N4"/>
      <selection pane="bottomRight" activeCell="AB3" sqref="AB3"/>
    </sheetView>
  </sheetViews>
  <sheetFormatPr baseColWidth="10" defaultColWidth="8.83203125" defaultRowHeight="13" x14ac:dyDescent="0.15"/>
  <cols>
    <col min="1" max="1" width="50.33203125" customWidth="1"/>
    <col min="3" max="3" width="12.33203125" customWidth="1"/>
    <col min="4" max="14" width="11.33203125" customWidth="1"/>
    <col min="15" max="15" width="13.33203125" customWidth="1"/>
    <col min="16" max="16" width="8.6640625" customWidth="1"/>
    <col min="17" max="17" width="12.1640625" bestFit="1" customWidth="1"/>
    <col min="18" max="22" width="12.5" bestFit="1" customWidth="1"/>
    <col min="23" max="23" width="12" customWidth="1"/>
    <col min="24" max="28" width="11.33203125" bestFit="1" customWidth="1"/>
    <col min="29" max="29" width="13.33203125" customWidth="1"/>
    <col min="30" max="30" width="4" customWidth="1"/>
    <col min="31" max="35" width="11.33203125" bestFit="1" customWidth="1"/>
    <col min="36" max="36" width="12.5" customWidth="1"/>
    <col min="37" max="41" width="11.33203125" bestFit="1" customWidth="1"/>
    <col min="42" max="42" width="12.33203125" customWidth="1"/>
    <col min="43" max="43" width="13" customWidth="1"/>
  </cols>
  <sheetData>
    <row r="1" spans="1:43" x14ac:dyDescent="0.15">
      <c r="A1" s="29" t="str">
        <f>+'Summary Cash Flow'!A1</f>
        <v>ABC Construction Company</v>
      </c>
    </row>
    <row r="2" spans="1:43" ht="20" x14ac:dyDescent="0.2">
      <c r="A2" s="29" t="s">
        <v>104</v>
      </c>
      <c r="H2" s="38" t="s">
        <v>82</v>
      </c>
      <c r="V2" s="38" t="s">
        <v>84</v>
      </c>
      <c r="AJ2" s="38" t="s">
        <v>90</v>
      </c>
    </row>
    <row r="3" spans="1:43" x14ac:dyDescent="0.15">
      <c r="A3" s="29"/>
      <c r="X3" t="s">
        <v>51</v>
      </c>
    </row>
    <row r="5" spans="1:43" x14ac:dyDescent="0.15">
      <c r="A5" s="29"/>
    </row>
    <row r="6" spans="1:43" x14ac:dyDescent="0.15">
      <c r="A6" s="3"/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47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  <c r="W6" s="47" t="s">
        <v>99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 t="s">
        <v>99</v>
      </c>
      <c r="AD6" s="36"/>
      <c r="AE6" s="47" t="s">
        <v>99</v>
      </c>
      <c r="AF6" s="47" t="s">
        <v>99</v>
      </c>
      <c r="AG6" s="47" t="s">
        <v>99</v>
      </c>
      <c r="AH6" s="47" t="s">
        <v>99</v>
      </c>
      <c r="AI6" s="47" t="s">
        <v>99</v>
      </c>
      <c r="AJ6" s="47" t="s">
        <v>99</v>
      </c>
      <c r="AK6" s="47" t="s">
        <v>99</v>
      </c>
      <c r="AL6" s="47" t="s">
        <v>99</v>
      </c>
      <c r="AM6" s="47" t="s">
        <v>99</v>
      </c>
      <c r="AN6" s="47" t="s">
        <v>99</v>
      </c>
      <c r="AO6" s="47" t="s">
        <v>99</v>
      </c>
      <c r="AP6" s="47" t="s">
        <v>99</v>
      </c>
      <c r="AQ6" s="47" t="s">
        <v>99</v>
      </c>
    </row>
    <row r="7" spans="1:43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P7" s="41"/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4" t="s">
        <v>84</v>
      </c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  <c r="AQ7" s="4" t="s">
        <v>90</v>
      </c>
    </row>
    <row r="8" spans="1:43" x14ac:dyDescent="0.15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</row>
    <row r="9" spans="1:43" x14ac:dyDescent="0.15"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</row>
    <row r="10" spans="1:43" x14ac:dyDescent="0.15">
      <c r="A10" s="96" t="s">
        <v>167</v>
      </c>
      <c r="B10" s="90"/>
      <c r="C10" s="99">
        <v>2</v>
      </c>
      <c r="D10" s="99">
        <f>+D11-C11</f>
        <v>1</v>
      </c>
      <c r="E10" s="99">
        <f t="shared" ref="E10:H10" si="0">+E11-D11</f>
        <v>-2</v>
      </c>
      <c r="F10" s="99">
        <f t="shared" si="0"/>
        <v>1</v>
      </c>
      <c r="G10" s="99">
        <f t="shared" si="0"/>
        <v>0</v>
      </c>
      <c r="H10" s="99">
        <f t="shared" si="0"/>
        <v>2</v>
      </c>
      <c r="I10" s="99">
        <v>2</v>
      </c>
      <c r="J10" s="99">
        <v>0</v>
      </c>
      <c r="K10" s="99">
        <v>-4</v>
      </c>
      <c r="L10" s="99">
        <v>-1</v>
      </c>
      <c r="M10" s="99">
        <v>1</v>
      </c>
      <c r="N10" s="99">
        <v>0</v>
      </c>
      <c r="O10" s="99">
        <f>SUM(C10:N10)</f>
        <v>2</v>
      </c>
      <c r="P10" s="41"/>
      <c r="Q10" s="99">
        <v>0</v>
      </c>
      <c r="R10" s="99">
        <f t="shared" ref="R10" si="1">+R11-Q11</f>
        <v>-2</v>
      </c>
      <c r="S10" s="99">
        <f t="shared" ref="S10" si="2">+S11-R11</f>
        <v>3</v>
      </c>
      <c r="T10" s="99">
        <f t="shared" ref="T10" si="3">+T11-S11</f>
        <v>2</v>
      </c>
      <c r="U10" s="99">
        <f t="shared" ref="U10" si="4">+U11-T11</f>
        <v>-1</v>
      </c>
      <c r="V10" s="99">
        <f t="shared" ref="V10" si="5">+V11-U11</f>
        <v>-2</v>
      </c>
      <c r="W10" s="99">
        <v>2</v>
      </c>
      <c r="X10" s="99">
        <v>1</v>
      </c>
      <c r="Y10" s="99">
        <v>1</v>
      </c>
      <c r="Z10" s="99">
        <v>1</v>
      </c>
      <c r="AA10" s="99">
        <v>1</v>
      </c>
      <c r="AB10" s="99">
        <v>1</v>
      </c>
      <c r="AC10" s="99">
        <f>SUM(Q10:AB10)</f>
        <v>7</v>
      </c>
      <c r="AE10" s="99">
        <v>0</v>
      </c>
      <c r="AF10" s="99">
        <v>-2</v>
      </c>
      <c r="AG10" s="99">
        <v>-2</v>
      </c>
      <c r="AH10" s="99">
        <v>0</v>
      </c>
      <c r="AI10" s="99">
        <v>1</v>
      </c>
      <c r="AJ10" s="99">
        <v>2</v>
      </c>
      <c r="AK10" s="99">
        <v>1</v>
      </c>
      <c r="AL10" s="99">
        <v>1</v>
      </c>
      <c r="AM10" s="99">
        <v>-2</v>
      </c>
      <c r="AN10" s="99">
        <v>-1</v>
      </c>
      <c r="AO10" s="99">
        <v>0</v>
      </c>
      <c r="AP10" s="99">
        <v>-1</v>
      </c>
      <c r="AQ10" s="99">
        <f>SUM(AE10:AP10)</f>
        <v>-3</v>
      </c>
    </row>
    <row r="11" spans="1:43" x14ac:dyDescent="0.15">
      <c r="A11" s="54" t="s">
        <v>112</v>
      </c>
      <c r="C11" s="50">
        <f>+'IS Actual &amp; Forecast'!C9</f>
        <v>15</v>
      </c>
      <c r="D11" s="50">
        <f>+'IS Actual &amp; Forecast'!D9</f>
        <v>16</v>
      </c>
      <c r="E11" s="50">
        <f>+'IS Actual &amp; Forecast'!E9</f>
        <v>14</v>
      </c>
      <c r="F11" s="50">
        <f>+'IS Actual &amp; Forecast'!F9</f>
        <v>15</v>
      </c>
      <c r="G11" s="50">
        <f>+'IS Actual &amp; Forecast'!G9</f>
        <v>15</v>
      </c>
      <c r="H11" s="50">
        <f>+'IS Actual &amp; Forecast'!H9</f>
        <v>17</v>
      </c>
      <c r="I11" s="50">
        <f>+H11+I10</f>
        <v>19</v>
      </c>
      <c r="J11" s="50">
        <f t="shared" ref="J11:N11" si="6">+I11+J10</f>
        <v>19</v>
      </c>
      <c r="K11" s="50">
        <f t="shared" si="6"/>
        <v>15</v>
      </c>
      <c r="L11" s="50">
        <f t="shared" si="6"/>
        <v>14</v>
      </c>
      <c r="M11" s="50">
        <f t="shared" si="6"/>
        <v>15</v>
      </c>
      <c r="N11" s="50">
        <f t="shared" si="6"/>
        <v>15</v>
      </c>
      <c r="O11" s="50">
        <f>+N11</f>
        <v>15</v>
      </c>
      <c r="P11" s="41"/>
      <c r="Q11" s="50">
        <f>+'IS Actual &amp; Forecast'!Q9</f>
        <v>15</v>
      </c>
      <c r="R11" s="50">
        <f>+'IS Actual &amp; Forecast'!R9</f>
        <v>13</v>
      </c>
      <c r="S11" s="50">
        <f>+'IS Actual &amp; Forecast'!S9</f>
        <v>16</v>
      </c>
      <c r="T11" s="50">
        <f>+'IS Actual &amp; Forecast'!T9</f>
        <v>18</v>
      </c>
      <c r="U11" s="50">
        <f>+'IS Actual &amp; Forecast'!U9</f>
        <v>17</v>
      </c>
      <c r="V11" s="50">
        <f>+'IS Actual &amp; Forecast'!V9</f>
        <v>15</v>
      </c>
      <c r="W11" s="50">
        <f t="shared" ref="W11" si="7">+V11+W10</f>
        <v>17</v>
      </c>
      <c r="X11" s="50">
        <f t="shared" ref="X11" si="8">+W11+X10</f>
        <v>18</v>
      </c>
      <c r="Y11" s="50">
        <f t="shared" ref="Y11" si="9">+X11+Y10</f>
        <v>19</v>
      </c>
      <c r="Z11" s="50">
        <f t="shared" ref="Z11" si="10">+Y11+Z10</f>
        <v>20</v>
      </c>
      <c r="AA11" s="50">
        <f t="shared" ref="AA11" si="11">+Z11+AA10</f>
        <v>21</v>
      </c>
      <c r="AB11" s="50">
        <f t="shared" ref="AB11" si="12">+AA11+AB10</f>
        <v>22</v>
      </c>
      <c r="AC11" s="50">
        <f>+AB11</f>
        <v>22</v>
      </c>
      <c r="AE11" s="50">
        <f>+AB11+AE10</f>
        <v>22</v>
      </c>
      <c r="AF11" s="50">
        <f t="shared" ref="AF11" si="13">+AE11+AF10</f>
        <v>20</v>
      </c>
      <c r="AG11" s="50">
        <f t="shared" ref="AG11" si="14">+AF11+AG10</f>
        <v>18</v>
      </c>
      <c r="AH11" s="50">
        <f t="shared" ref="AH11" si="15">+AG11+AH10</f>
        <v>18</v>
      </c>
      <c r="AI11" s="50">
        <f t="shared" ref="AI11" si="16">+AH11+AI10</f>
        <v>19</v>
      </c>
      <c r="AJ11" s="50">
        <f t="shared" ref="AJ11" si="17">+AI11+AJ10</f>
        <v>21</v>
      </c>
      <c r="AK11" s="50">
        <f t="shared" ref="AK11" si="18">+AJ11+AK10</f>
        <v>22</v>
      </c>
      <c r="AL11" s="50">
        <f t="shared" ref="AL11" si="19">+AK11+AL10</f>
        <v>23</v>
      </c>
      <c r="AM11" s="50">
        <f t="shared" ref="AM11" si="20">+AL11+AM10</f>
        <v>21</v>
      </c>
      <c r="AN11" s="50">
        <f t="shared" ref="AN11" si="21">+AM11+AN10</f>
        <v>20</v>
      </c>
      <c r="AO11" s="50">
        <f t="shared" ref="AO11" si="22">+AN11+AO10</f>
        <v>20</v>
      </c>
      <c r="AP11" s="50">
        <f t="shared" ref="AP11" si="23">+AO11+AP10</f>
        <v>19</v>
      </c>
      <c r="AQ11" s="50">
        <f>+AP11</f>
        <v>19</v>
      </c>
    </row>
    <row r="12" spans="1:43" x14ac:dyDescent="0.15"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1"/>
      <c r="X12" s="1"/>
      <c r="Y12" s="1"/>
      <c r="Z12" s="1"/>
      <c r="AA12" s="1"/>
      <c r="AB12" s="1"/>
      <c r="AC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</row>
    <row r="13" spans="1:43" x14ac:dyDescent="0.15">
      <c r="A13" s="96" t="s">
        <v>121</v>
      </c>
      <c r="B13" s="90"/>
      <c r="C13" s="98" t="s">
        <v>106</v>
      </c>
      <c r="D13" s="98" t="s">
        <v>106</v>
      </c>
      <c r="E13" s="98" t="s">
        <v>106</v>
      </c>
      <c r="F13" s="98" t="s">
        <v>106</v>
      </c>
      <c r="G13" s="98" t="s">
        <v>106</v>
      </c>
      <c r="H13" s="98" t="s">
        <v>106</v>
      </c>
      <c r="I13" s="98" t="s">
        <v>106</v>
      </c>
      <c r="J13" s="98" t="s">
        <v>106</v>
      </c>
      <c r="K13" s="98" t="s">
        <v>106</v>
      </c>
      <c r="L13" s="98" t="s">
        <v>106</v>
      </c>
      <c r="M13" s="98" t="s">
        <v>106</v>
      </c>
      <c r="N13" s="98" t="s">
        <v>106</v>
      </c>
      <c r="O13" s="98"/>
      <c r="P13" s="41"/>
      <c r="Q13" s="100">
        <f>(+'IS Actual &amp; Forecast'!Q10-'IS Actual &amp; Forecast'!C10)/'IS Actual &amp; Forecast'!C10</f>
        <v>0.10066560758000044</v>
      </c>
      <c r="R13" s="100">
        <f>(+'IS Actual &amp; Forecast'!R10-'IS Actual &amp; Forecast'!D10)/'IS Actual &amp; Forecast'!D10</f>
        <v>0.47104042034447513</v>
      </c>
      <c r="S13" s="100">
        <f>(+'IS Actual &amp; Forecast'!S10-'IS Actual &amp; Forecast'!E10)/'IS Actual &amp; Forecast'!E10</f>
        <v>-0.11159510618124986</v>
      </c>
      <c r="T13" s="100">
        <f>(+'IS Actual &amp; Forecast'!T10-'IS Actual &amp; Forecast'!F10)/'IS Actual &amp; Forecast'!F10</f>
        <v>-6.0371099081124917E-2</v>
      </c>
      <c r="U13" s="100">
        <f>(+'IS Actual &amp; Forecast'!U10-'IS Actual &amp; Forecast'!G10)/'IS Actual &amp; Forecast'!G10</f>
        <v>-0.17824476382352944</v>
      </c>
      <c r="V13" s="100">
        <f>(+'IS Actual &amp; Forecast'!V10-'IS Actual &amp; Forecast'!H10)/'IS Actual &amp; Forecast'!H10</f>
        <v>-0.20609256351540928</v>
      </c>
      <c r="W13" s="100">
        <v>0.03</v>
      </c>
      <c r="X13" s="100">
        <v>0.03</v>
      </c>
      <c r="Y13" s="100">
        <v>0.03</v>
      </c>
      <c r="Z13" s="100">
        <v>0.03</v>
      </c>
      <c r="AA13" s="100">
        <v>0.03</v>
      </c>
      <c r="AB13" s="100">
        <v>0.03</v>
      </c>
      <c r="AC13" s="98"/>
      <c r="AE13" s="100">
        <v>0.03</v>
      </c>
      <c r="AF13" s="100">
        <v>0.03</v>
      </c>
      <c r="AG13" s="100">
        <v>0.03</v>
      </c>
      <c r="AH13" s="100">
        <v>0.03</v>
      </c>
      <c r="AI13" s="100">
        <v>0.03</v>
      </c>
      <c r="AJ13" s="100">
        <v>0.03</v>
      </c>
      <c r="AK13" s="100">
        <v>0.03</v>
      </c>
      <c r="AL13" s="100">
        <v>0.03</v>
      </c>
      <c r="AM13" s="100">
        <v>0.03</v>
      </c>
      <c r="AN13" s="100">
        <v>0.03</v>
      </c>
      <c r="AO13" s="100">
        <v>0.03</v>
      </c>
      <c r="AP13" s="100">
        <v>0.03</v>
      </c>
      <c r="AQ13" s="98"/>
    </row>
    <row r="14" spans="1:43" x14ac:dyDescent="0.15">
      <c r="A14" s="54" t="s">
        <v>113</v>
      </c>
      <c r="C14" s="55">
        <f>+'IS Actual &amp; Forecast'!C10</f>
        <v>129550.39999999999</v>
      </c>
      <c r="D14" s="55">
        <f>+'IS Actual &amp; Forecast'!D10</f>
        <v>133598.85</v>
      </c>
      <c r="E14" s="55">
        <f>+'IS Actual &amp; Forecast'!E10</f>
        <v>155738.08800000002</v>
      </c>
      <c r="F14" s="55">
        <f>+'IS Actual &amp; Forecast'!F10</f>
        <v>115180.660384</v>
      </c>
      <c r="G14" s="55">
        <f>+'IS Actual &amp; Forecast'!G10</f>
        <v>132477.04717632002</v>
      </c>
      <c r="H14" s="55">
        <f>+'IS Actual &amp; Forecast'!H10</f>
        <v>128580.66343584005</v>
      </c>
      <c r="I14" s="55">
        <f>+'IS Actual &amp; Forecast'!I10</f>
        <v>109293.56392046403</v>
      </c>
      <c r="J14" s="55">
        <f>+'IS Actual &amp; Forecast'!J10</f>
        <v>130550.89473684211</v>
      </c>
      <c r="K14" s="55">
        <f>+'IS Actual &amp; Forecast'!K10</f>
        <v>143283.86229972832</v>
      </c>
      <c r="L14" s="55">
        <f>+'IS Actual &amp; Forecast'!L10</f>
        <v>135096.21302545813</v>
      </c>
      <c r="M14" s="55">
        <f>+'IS Actual &amp; Forecast'!M10</f>
        <v>119785.30888257288</v>
      </c>
      <c r="N14" s="55">
        <f>+'IS Actual &amp; Forecast'!N10</f>
        <v>99107.907660034674</v>
      </c>
      <c r="P14" s="41"/>
      <c r="Q14" s="56">
        <f>+'IS Actual &amp; Forecast'!Q10</f>
        <v>142591.66972823208</v>
      </c>
      <c r="R14" s="56">
        <f>+'IS Actual &amp; Forecast'!R10</f>
        <v>196529.30846153849</v>
      </c>
      <c r="S14" s="56">
        <f>+'IS Actual &amp; Forecast'!S10</f>
        <v>138358.47953317518</v>
      </c>
      <c r="T14" s="56">
        <f>+'IS Actual &amp; Forecast'!T10</f>
        <v>108227.07732372814</v>
      </c>
      <c r="U14" s="56">
        <f>+'IS Actual &amp; Forecast'!U10</f>
        <v>108863.70719033829</v>
      </c>
      <c r="V14" s="56">
        <f>+'IS Actual &amp; Forecast'!V10</f>
        <v>102081.14488983572</v>
      </c>
      <c r="W14" s="51">
        <f>+I14*(1+W13)</f>
        <v>112572.37083807796</v>
      </c>
      <c r="X14" s="51">
        <f t="shared" ref="X14:AB14" si="24">+J14*(1+X13)</f>
        <v>134467.42157894737</v>
      </c>
      <c r="Y14" s="51">
        <f t="shared" si="24"/>
        <v>147582.37816872017</v>
      </c>
      <c r="Z14" s="51">
        <f t="shared" si="24"/>
        <v>139149.09941622187</v>
      </c>
      <c r="AA14" s="51">
        <f t="shared" si="24"/>
        <v>123378.86814905006</v>
      </c>
      <c r="AB14" s="51">
        <f t="shared" si="24"/>
        <v>102081.14488983572</v>
      </c>
      <c r="AE14" s="51">
        <f t="shared" ref="AE14:AF14" si="25">+Q14*(1+AE13)</f>
        <v>146869.41982007906</v>
      </c>
      <c r="AF14" s="51">
        <f t="shared" si="25"/>
        <v>202425.18771538464</v>
      </c>
      <c r="AG14" s="51">
        <f t="shared" ref="AG14" si="26">+S14*(1+AG13)</f>
        <v>142509.23391917045</v>
      </c>
      <c r="AH14" s="51">
        <f t="shared" ref="AH14" si="27">+T14*(1+AH13)</f>
        <v>111473.88964343998</v>
      </c>
      <c r="AI14" s="51">
        <f t="shared" ref="AI14" si="28">+U14*(1+AI13)</f>
        <v>112129.61840604844</v>
      </c>
      <c r="AJ14" s="51">
        <f t="shared" ref="AJ14" si="29">+V14*(1+AJ13)</f>
        <v>105143.5792365308</v>
      </c>
      <c r="AK14" s="51">
        <f t="shared" ref="AK14" si="30">+W14*(1+AK13)</f>
        <v>115949.5419632203</v>
      </c>
      <c r="AL14" s="51">
        <f t="shared" ref="AL14" si="31">+X14*(1+AL13)</f>
        <v>138501.4442263158</v>
      </c>
      <c r="AM14" s="51">
        <f t="shared" ref="AM14" si="32">+Y14*(1+AM13)</f>
        <v>152009.84951378178</v>
      </c>
      <c r="AN14" s="51">
        <f t="shared" ref="AN14" si="33">+Z14*(1+AN13)</f>
        <v>143323.57239870852</v>
      </c>
      <c r="AO14" s="51">
        <f t="shared" ref="AO14" si="34">+AA14*(1+AO13)</f>
        <v>127080.23419352157</v>
      </c>
      <c r="AP14" s="51">
        <f t="shared" ref="AP14" si="35">+AB14*(1+AP13)</f>
        <v>105143.5792365308</v>
      </c>
    </row>
    <row r="15" spans="1:43" x14ac:dyDescent="0.15">
      <c r="A15" s="29" t="s">
        <v>16</v>
      </c>
      <c r="C15" s="48">
        <f>+'IS Actual &amp; Forecast'!C16</f>
        <v>1943256</v>
      </c>
      <c r="D15" s="48">
        <f>+'IS Actual &amp; Forecast'!D16</f>
        <v>2137581.6</v>
      </c>
      <c r="E15" s="48">
        <f>+'IS Actual &amp; Forecast'!E16</f>
        <v>2180333.2320000003</v>
      </c>
      <c r="F15" s="48">
        <f>+'IS Actual &amp; Forecast'!F16</f>
        <v>1727709.90576</v>
      </c>
      <c r="G15" s="48">
        <f>+'IS Actual &amp; Forecast'!G16</f>
        <v>1987155.7076448004</v>
      </c>
      <c r="H15" s="48">
        <f>+'IS Actual &amp; Forecast'!H16</f>
        <v>2185871.2784092808</v>
      </c>
      <c r="I15" s="48">
        <f>+'IS Actual &amp; Forecast'!I16</f>
        <v>2076577.7144888167</v>
      </c>
      <c r="J15" s="48">
        <f>+'IS Actual &amp; Forecast'!J16</f>
        <v>2480467</v>
      </c>
      <c r="K15" s="48">
        <f>+'IS Actual &amp; Forecast'!K16</f>
        <v>2149257.934495925</v>
      </c>
      <c r="L15" s="48">
        <f>+'IS Actual &amp; Forecast'!L16</f>
        <v>1891346.982356414</v>
      </c>
      <c r="M15" s="48">
        <f>+'IS Actual &amp; Forecast'!M16</f>
        <v>1796779.6332385931</v>
      </c>
      <c r="N15" s="48">
        <f>+'IS Actual &amp; Forecast'!N16</f>
        <v>1486618.6149005201</v>
      </c>
      <c r="O15" s="56">
        <f>SUM(C15:N15)</f>
        <v>24042955.60329435</v>
      </c>
      <c r="P15" s="41"/>
      <c r="Q15" s="48">
        <f>+'IS Actual &amp; Forecast'!Q13</f>
        <v>2138875.0459234812</v>
      </c>
      <c r="R15" s="48">
        <f>+'IS Actual &amp; Forecast'!R13</f>
        <v>2554881.0100000002</v>
      </c>
      <c r="S15" s="48">
        <f>+'IS Actual &amp; Forecast'!S13</f>
        <v>2213735.6725308029</v>
      </c>
      <c r="T15" s="48">
        <f>+'IS Actual &amp; Forecast'!T13</f>
        <v>1948087.3918271065</v>
      </c>
      <c r="U15" s="48">
        <f>+'IS Actual &amp; Forecast'!U13</f>
        <v>1850683.0222357509</v>
      </c>
      <c r="V15" s="48">
        <f>+'IS Actual &amp; Forecast'!V13</f>
        <v>1531217.1733475358</v>
      </c>
      <c r="W15" s="48">
        <f>+W11*W14</f>
        <v>1913730.3042473253</v>
      </c>
      <c r="X15" s="48">
        <f t="shared" ref="X15:AB15" si="36">+X11*X14</f>
        <v>2420413.5884210528</v>
      </c>
      <c r="Y15" s="48">
        <f t="shared" si="36"/>
        <v>2804065.1852056831</v>
      </c>
      <c r="Z15" s="48">
        <f t="shared" si="36"/>
        <v>2782981.9883244373</v>
      </c>
      <c r="AA15" s="48">
        <f t="shared" si="36"/>
        <v>2590956.2311300514</v>
      </c>
      <c r="AB15" s="48">
        <f t="shared" si="36"/>
        <v>2245785.1875763857</v>
      </c>
      <c r="AC15" s="56">
        <f>SUM(Q15:AB15)</f>
        <v>26995411.800769616</v>
      </c>
      <c r="AE15" s="48">
        <f t="shared" ref="AE15:AF15" si="37">+AE11*AE14</f>
        <v>3231127.2360417391</v>
      </c>
      <c r="AF15" s="48">
        <f t="shared" si="37"/>
        <v>4048503.7543076929</v>
      </c>
      <c r="AG15" s="48">
        <f t="shared" ref="AG15:AP15" si="38">+AG11*AG14</f>
        <v>2565166.2105450681</v>
      </c>
      <c r="AH15" s="48">
        <f t="shared" si="38"/>
        <v>2006530.0135819197</v>
      </c>
      <c r="AI15" s="48">
        <f t="shared" si="38"/>
        <v>2130462.7497149203</v>
      </c>
      <c r="AJ15" s="48">
        <f t="shared" si="38"/>
        <v>2208015.163967147</v>
      </c>
      <c r="AK15" s="48">
        <f t="shared" si="38"/>
        <v>2550889.9231908466</v>
      </c>
      <c r="AL15" s="48">
        <f t="shared" si="38"/>
        <v>3185533.2172052632</v>
      </c>
      <c r="AM15" s="48">
        <f t="shared" si="38"/>
        <v>3192206.8397894176</v>
      </c>
      <c r="AN15" s="48">
        <f t="shared" si="38"/>
        <v>2866471.4479741706</v>
      </c>
      <c r="AO15" s="48">
        <f t="shared" si="38"/>
        <v>2541604.6838704315</v>
      </c>
      <c r="AP15" s="48">
        <f t="shared" si="38"/>
        <v>1997728.0054940851</v>
      </c>
      <c r="AQ15" s="56">
        <f>SUM(AE15:AP15)</f>
        <v>32524239.245682701</v>
      </c>
    </row>
    <row r="16" spans="1:43" x14ac:dyDescent="0.15">
      <c r="A16" s="29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P16" s="41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</row>
    <row r="17" spans="1:43" x14ac:dyDescent="0.15">
      <c r="A17" s="96" t="s">
        <v>122</v>
      </c>
      <c r="B17" s="90"/>
      <c r="C17" s="101">
        <f>+'IS Actual &amp; Forecast'!C21</f>
        <v>0.14400000000000002</v>
      </c>
      <c r="D17" s="101">
        <f>+'IS Actual &amp; Forecast'!D21</f>
        <v>0.16200000000000006</v>
      </c>
      <c r="E17" s="101">
        <f>+'IS Actual &amp; Forecast'!E21</f>
        <v>0.14900000000000008</v>
      </c>
      <c r="F17" s="101">
        <f>+'IS Actual &amp; Forecast'!F21</f>
        <v>0.13800000000000001</v>
      </c>
      <c r="G17" s="101">
        <f>+'IS Actual &amp; Forecast'!G21</f>
        <v>0.15300000000000002</v>
      </c>
      <c r="H17" s="101">
        <f>+'IS Actual &amp; Forecast'!H21</f>
        <v>0.15800000000000006</v>
      </c>
      <c r="I17" s="101">
        <f>+'IS Actual &amp; Forecast'!I21</f>
        <v>0.16600000000000009</v>
      </c>
      <c r="J17" s="101">
        <f>+'IS Actual &amp; Forecast'!J21</f>
        <v>0.14499999999999993</v>
      </c>
      <c r="K17" s="101">
        <f>+'IS Actual &amp; Forecast'!K21</f>
        <v>0.15399999999999997</v>
      </c>
      <c r="L17" s="101">
        <f>+'IS Actual &amp; Forecast'!L21</f>
        <v>0.12899999999999998</v>
      </c>
      <c r="M17" s="101">
        <f>+'IS Actual &amp; Forecast'!M21</f>
        <v>0.15400000000000008</v>
      </c>
      <c r="N17" s="101">
        <f>+'IS Actual &amp; Forecast'!N21</f>
        <v>0.15900000000000003</v>
      </c>
      <c r="O17" s="90"/>
      <c r="P17" s="41"/>
      <c r="Q17" s="101">
        <f>+'IS Actual &amp; Forecast'!Q21</f>
        <v>0.14100000000000001</v>
      </c>
      <c r="R17" s="101">
        <f>+'IS Actual &amp; Forecast'!R21</f>
        <v>0.16100000000000006</v>
      </c>
      <c r="S17" s="101">
        <f>+'IS Actual &amp; Forecast'!S21</f>
        <v>0.159</v>
      </c>
      <c r="T17" s="101">
        <f>+'IS Actual &amp; Forecast'!T21</f>
        <v>0.128</v>
      </c>
      <c r="U17" s="101">
        <f>+'IS Actual &amp; Forecast'!U21</f>
        <v>0.15300000000000005</v>
      </c>
      <c r="V17" s="101">
        <f>+'IS Actual &amp; Forecast'!V21</f>
        <v>0.14899999999999999</v>
      </c>
      <c r="W17" s="101">
        <v>0.15</v>
      </c>
      <c r="X17" s="101">
        <v>0.15</v>
      </c>
      <c r="Y17" s="101">
        <v>0.15</v>
      </c>
      <c r="Z17" s="101">
        <v>0.14000000000000001</v>
      </c>
      <c r="AA17" s="101">
        <v>0.14000000000000001</v>
      </c>
      <c r="AB17" s="101">
        <v>0.14000000000000001</v>
      </c>
      <c r="AC17" s="90"/>
      <c r="AE17" s="101">
        <v>0.14000000000000001</v>
      </c>
      <c r="AF17" s="101">
        <v>0.14000000000000001</v>
      </c>
      <c r="AG17" s="101">
        <v>0.15</v>
      </c>
      <c r="AH17" s="101">
        <v>0.15</v>
      </c>
      <c r="AI17" s="101">
        <v>0.15</v>
      </c>
      <c r="AJ17" s="101">
        <v>0.15</v>
      </c>
      <c r="AK17" s="101">
        <v>0.15</v>
      </c>
      <c r="AL17" s="101">
        <v>0.15</v>
      </c>
      <c r="AM17" s="101">
        <v>0.15</v>
      </c>
      <c r="AN17" s="101">
        <v>0.15</v>
      </c>
      <c r="AO17" s="101">
        <v>0.15</v>
      </c>
      <c r="AP17" s="101">
        <v>0.15</v>
      </c>
      <c r="AQ17" s="90"/>
    </row>
    <row r="18" spans="1:43" x14ac:dyDescent="0.15">
      <c r="A18" s="29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P18" s="41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</row>
    <row r="19" spans="1:43" x14ac:dyDescent="0.15">
      <c r="P19" s="41"/>
    </row>
    <row r="20" spans="1:43" x14ac:dyDescent="0.15">
      <c r="A20" s="97" t="s">
        <v>100</v>
      </c>
      <c r="B20" s="90"/>
      <c r="C20" s="98" t="s">
        <v>106</v>
      </c>
      <c r="D20" s="98" t="s">
        <v>106</v>
      </c>
      <c r="E20" s="102">
        <f>+E22/E21</f>
        <v>43.644890675972988</v>
      </c>
      <c r="F20" s="102">
        <f t="shared" ref="F20:N20" si="39">+F22/F21</f>
        <v>40.528319778594458</v>
      </c>
      <c r="G20" s="102">
        <f t="shared" si="39"/>
        <v>44.168715685619617</v>
      </c>
      <c r="H20" s="102">
        <f t="shared" si="39"/>
        <v>47.171636879843781</v>
      </c>
      <c r="I20" s="102">
        <f t="shared" si="39"/>
        <v>41.096895002117996</v>
      </c>
      <c r="J20" s="102">
        <f t="shared" si="39"/>
        <v>41.282204849853152</v>
      </c>
      <c r="K20" s="102">
        <f t="shared" si="39"/>
        <v>39.17942728115024</v>
      </c>
      <c r="L20" s="102">
        <f t="shared" si="39"/>
        <v>39.054591999595495</v>
      </c>
      <c r="M20" s="102">
        <f t="shared" si="39"/>
        <v>43.948324248834822</v>
      </c>
      <c r="N20" s="102">
        <f t="shared" si="39"/>
        <v>47.422965578481076</v>
      </c>
      <c r="O20" s="90"/>
      <c r="P20" s="41"/>
      <c r="Q20" s="102">
        <f t="shared" ref="Q20:S20" si="40">+Q22/Q21</f>
        <v>52.096003448477333</v>
      </c>
      <c r="R20" s="102">
        <f t="shared" si="40"/>
        <v>37.422207328842731</v>
      </c>
      <c r="S20" s="102">
        <f t="shared" si="40"/>
        <v>37.391807090727475</v>
      </c>
      <c r="T20" s="102">
        <f t="shared" ref="T20" si="41">+T22/T21</f>
        <v>43.405233033586278</v>
      </c>
      <c r="U20" s="102">
        <f t="shared" ref="U20" si="42">+U22/U21</f>
        <v>46.676595631201749</v>
      </c>
      <c r="V20" s="102">
        <f t="shared" ref="V20" si="43">+V22/V21</f>
        <v>48.066900710474755</v>
      </c>
      <c r="W20" s="102">
        <v>43</v>
      </c>
      <c r="X20" s="102">
        <v>43</v>
      </c>
      <c r="Y20" s="102">
        <v>43</v>
      </c>
      <c r="Z20" s="102">
        <v>50</v>
      </c>
      <c r="AA20" s="102">
        <v>50</v>
      </c>
      <c r="AB20" s="102">
        <v>55</v>
      </c>
      <c r="AC20" s="90"/>
      <c r="AE20" s="102">
        <v>50</v>
      </c>
      <c r="AF20" s="102">
        <v>50</v>
      </c>
      <c r="AG20" s="102">
        <v>45</v>
      </c>
      <c r="AH20" s="102">
        <v>44</v>
      </c>
      <c r="AI20" s="102">
        <v>43</v>
      </c>
      <c r="AJ20" s="102">
        <v>43</v>
      </c>
      <c r="AK20" s="102">
        <v>43</v>
      </c>
      <c r="AL20" s="102">
        <v>43</v>
      </c>
      <c r="AM20" s="102">
        <v>43</v>
      </c>
      <c r="AN20" s="102">
        <v>43</v>
      </c>
      <c r="AO20" s="102">
        <v>43</v>
      </c>
      <c r="AP20" s="102">
        <v>43</v>
      </c>
      <c r="AQ20" s="90"/>
    </row>
    <row r="21" spans="1:43" x14ac:dyDescent="0.15">
      <c r="A21" t="s">
        <v>108</v>
      </c>
      <c r="C21" s="41" t="s">
        <v>106</v>
      </c>
      <c r="D21" s="41" t="s">
        <v>106</v>
      </c>
      <c r="E21" s="49">
        <f>SUM('IS for importing to SW'!C13:D13)/60</f>
        <v>68013.960000000006</v>
      </c>
      <c r="F21" s="49">
        <f>SUM('IS for importing to SW'!D13:E13)/60</f>
        <v>71965.247200000013</v>
      </c>
      <c r="G21" s="49">
        <f>SUM('IS for importing to SW'!E13:F13)/60</f>
        <v>65134.052296000002</v>
      </c>
      <c r="H21" s="49">
        <f>SUM('IS for importing to SW'!F13:G13)/60</f>
        <v>61914.426890080002</v>
      </c>
      <c r="I21" s="49">
        <f>SUM('IS for importing to SW'!G13:H13)/60</f>
        <v>69550.449767568018</v>
      </c>
      <c r="J21" s="49">
        <f>SUM('IS for importing to SW'!H13:I13)/60</f>
        <v>71040.81654830162</v>
      </c>
      <c r="K21" s="49">
        <f>SUM('IS for importing to SW'!I13:J13)/60</f>
        <v>75950.745241480268</v>
      </c>
      <c r="L21" s="49">
        <f>SUM('IS for importing to SW'!J13:K13)/60</f>
        <v>77162.08224159875</v>
      </c>
      <c r="M21" s="49">
        <f>SUM('IS for importing to SW'!K13:L13)/60</f>
        <v>67343.415280872316</v>
      </c>
      <c r="N21" s="49">
        <f>SUM('IS for importing to SW'!L13:M13)/60</f>
        <v>61468.776926583458</v>
      </c>
      <c r="P21" s="41"/>
      <c r="Q21" s="49">
        <f>SUM('IS Actual &amp; Forecast'!M13:N13)/60</f>
        <v>54723.304135651888</v>
      </c>
      <c r="R21" s="49">
        <f>SUM('IS Actual &amp; Forecast'!Q13:R13)/60</f>
        <v>78229.267598724691</v>
      </c>
      <c r="S21" s="49">
        <f>SUM('IS Actual &amp; Forecast'!R13:S13)/60</f>
        <v>79476.944708846728</v>
      </c>
      <c r="T21" s="49">
        <f>SUM('IS Actual &amp; Forecast'!S13:T13)/60</f>
        <v>69363.717739298489</v>
      </c>
      <c r="U21" s="49">
        <f>SUM('IS Actual &amp; Forecast'!T13:U13)/60</f>
        <v>63312.840234380958</v>
      </c>
      <c r="V21" s="49">
        <f>SUM('IS Actual &amp; Forecast'!U13:V13)/60</f>
        <v>56365.003259721445</v>
      </c>
      <c r="W21" s="49">
        <f>SUM('IS Actual &amp; Forecast'!V13:W13)/60</f>
        <v>57415.791293247683</v>
      </c>
      <c r="X21" s="49">
        <f>SUM('IS Actual &amp; Forecast'!W13:X13)/60</f>
        <v>72235.731544472961</v>
      </c>
      <c r="Y21" s="49">
        <f>SUM('IS Actual &amp; Forecast'!X13:Y13)/60</f>
        <v>87074.646227112258</v>
      </c>
      <c r="Z21" s="49">
        <f>SUM('IS Actual &amp; Forecast'!Y13:Z13)/60</f>
        <v>93117.452892168672</v>
      </c>
      <c r="AA21" s="49">
        <f>SUM('IS Actual &amp; Forecast'!Z13:AA13)/60</f>
        <v>89565.63699090814</v>
      </c>
      <c r="AB21" s="49">
        <f>SUM('IS Actual &amp; Forecast'!AA13:AB13)/60</f>
        <v>80612.356978440628</v>
      </c>
      <c r="AE21" s="49">
        <f>('IS Actual &amp; Forecast'!AB13+'IS Actual &amp; Forecast'!AE13)/60</f>
        <v>91281.873726968741</v>
      </c>
      <c r="AF21" s="49">
        <f>SUM('IS Actual &amp; Forecast'!AE13:AF13)/60</f>
        <v>121327.18317249054</v>
      </c>
      <c r="AG21" s="49">
        <f>SUM('IS Actual &amp; Forecast'!AF13:AG13)/60</f>
        <v>110227.83274754602</v>
      </c>
      <c r="AH21" s="49">
        <f>SUM('IS Actual &amp; Forecast'!AG13:AH13)/60</f>
        <v>76194.93706878314</v>
      </c>
      <c r="AI21" s="49">
        <f>SUM('IS Actual &amp; Forecast'!AH13:AI13)/60</f>
        <v>68949.879388280664</v>
      </c>
      <c r="AJ21" s="49">
        <f>SUM('IS Actual &amp; Forecast'!AI13:AJ13)/60</f>
        <v>72307.96522803446</v>
      </c>
      <c r="AK21" s="49">
        <f>SUM('IS Actual &amp; Forecast'!AJ13:AK13)/60</f>
        <v>79315.084785966566</v>
      </c>
      <c r="AL21" s="49">
        <f>SUM('IS Actual &amp; Forecast'!AK13:AL13)/60</f>
        <v>95607.052339935166</v>
      </c>
      <c r="AM21" s="49">
        <f>SUM('IS Actual &amp; Forecast'!AL13:AM13)/60</f>
        <v>106295.66761657801</v>
      </c>
      <c r="AN21" s="49">
        <f>SUM('IS Actual &amp; Forecast'!AM13:AN13)/60</f>
        <v>100977.97146272646</v>
      </c>
      <c r="AO21" s="49">
        <f>SUM('IS Actual &amp; Forecast'!AN13:AO13)/60</f>
        <v>90134.602197410044</v>
      </c>
      <c r="AP21" s="49">
        <f>SUM('IS Actual &amp; Forecast'!AO13:AP13)/60</f>
        <v>75655.544822741955</v>
      </c>
    </row>
    <row r="22" spans="1:43" x14ac:dyDescent="0.15">
      <c r="A22" s="29" t="s">
        <v>59</v>
      </c>
      <c r="C22" s="48">
        <f>+'BS Actual &amp; Forecast'!C11</f>
        <v>2946231</v>
      </c>
      <c r="D22" s="48">
        <f>+'BS Actual &amp; Forecast'!D11</f>
        <v>2924855.1839999999</v>
      </c>
      <c r="E22" s="48">
        <f>+'BS Actual &amp; Forecast'!E11</f>
        <v>2968461.84864</v>
      </c>
      <c r="F22" s="48">
        <f>+'BS Actual &amp; Forecast'!F11</f>
        <v>2916630.5514671998</v>
      </c>
      <c r="G22" s="48">
        <f>+'BS Actual &amp; Forecast'!G11</f>
        <v>2876887.4373143036</v>
      </c>
      <c r="H22" s="48">
        <f>+'BS Actual &amp; Forecast'!H11</f>
        <v>2920604.8628824893</v>
      </c>
      <c r="I22" s="48">
        <f>+'BS Actual &amp; Forecast'!I11</f>
        <v>2858307.531447825</v>
      </c>
      <c r="J22" s="48">
        <f>+'BS Actual &amp; Forecast'!J11</f>
        <v>2932721.5414478253</v>
      </c>
      <c r="K22" s="48">
        <f>+'BS Actual &amp; Forecast'!K11</f>
        <v>2975706.7001377437</v>
      </c>
      <c r="L22" s="48">
        <f>+'BS Actual &amp; Forecast'!L11</f>
        <v>3013533.6397848721</v>
      </c>
      <c r="M22" s="48">
        <f>+'BS Actual &amp; Forecast'!M11</f>
        <v>2959630.2507877145</v>
      </c>
      <c r="N22" s="48">
        <f>+'BS Actual &amp; Forecast'!N11</f>
        <v>2915031.692340699</v>
      </c>
      <c r="P22" s="41"/>
      <c r="Q22" s="48">
        <f>+'BS Actual &amp; Forecast'!Q11</f>
        <v>2850865.4409629945</v>
      </c>
      <c r="R22" s="48">
        <f>+'BS Actual &amp; Forecast'!R11</f>
        <v>2927511.8712629946</v>
      </c>
      <c r="S22" s="48">
        <f>+'BS Actual &amp; Forecast'!S11</f>
        <v>2971786.5847136108</v>
      </c>
      <c r="T22" s="48">
        <f>+'BS Actual &amp; Forecast'!T11</f>
        <v>3010748.3325501531</v>
      </c>
      <c r="U22" s="48">
        <f>+'BS Actual &amp; Forecast'!U11</f>
        <v>2955227.8418830805</v>
      </c>
      <c r="V22" s="48">
        <f>+'BS Actual &amp; Forecast'!V11</f>
        <v>2709291.0152306166</v>
      </c>
      <c r="W22" s="48">
        <f>+W20*W21</f>
        <v>2468879.0256096502</v>
      </c>
      <c r="X22" s="48">
        <f t="shared" ref="X22:AB22" si="44">+X20*X21</f>
        <v>3106136.4564123373</v>
      </c>
      <c r="Y22" s="48">
        <f t="shared" si="44"/>
        <v>3744209.787765827</v>
      </c>
      <c r="Z22" s="48">
        <f t="shared" si="44"/>
        <v>4655872.6446084334</v>
      </c>
      <c r="AA22" s="48">
        <f t="shared" si="44"/>
        <v>4478281.8495454071</v>
      </c>
      <c r="AB22" s="48">
        <f t="shared" si="44"/>
        <v>4433679.6338142343</v>
      </c>
      <c r="AE22" s="48">
        <f t="shared" ref="AE22:AF22" si="45">+AE20*AE21</f>
        <v>4564093.6863484373</v>
      </c>
      <c r="AF22" s="48">
        <f t="shared" si="45"/>
        <v>6066359.158624527</v>
      </c>
      <c r="AG22" s="48">
        <f t="shared" ref="AG22:AP22" si="46">+AG20*AG21</f>
        <v>4960252.4736395711</v>
      </c>
      <c r="AH22" s="48">
        <f t="shared" si="46"/>
        <v>3352577.2310264581</v>
      </c>
      <c r="AI22" s="48">
        <f t="shared" si="46"/>
        <v>2964844.8136960687</v>
      </c>
      <c r="AJ22" s="48">
        <f t="shared" si="46"/>
        <v>3109242.504805482</v>
      </c>
      <c r="AK22" s="48">
        <f t="shared" si="46"/>
        <v>3410548.6457965625</v>
      </c>
      <c r="AL22" s="48">
        <f t="shared" si="46"/>
        <v>4111103.2506172122</v>
      </c>
      <c r="AM22" s="48">
        <f t="shared" si="46"/>
        <v>4570713.7075128546</v>
      </c>
      <c r="AN22" s="48">
        <f t="shared" si="46"/>
        <v>4342052.7728972379</v>
      </c>
      <c r="AO22" s="48">
        <f t="shared" si="46"/>
        <v>3875787.8944886317</v>
      </c>
      <c r="AP22" s="48">
        <f t="shared" si="46"/>
        <v>3253188.4273779038</v>
      </c>
    </row>
    <row r="23" spans="1:43" x14ac:dyDescent="0.15">
      <c r="P23" s="41"/>
    </row>
    <row r="24" spans="1:43" x14ac:dyDescent="0.15">
      <c r="A24" s="97" t="s">
        <v>101</v>
      </c>
      <c r="B24" s="90"/>
      <c r="C24" s="98" t="s">
        <v>106</v>
      </c>
      <c r="D24" s="98" t="s">
        <v>106</v>
      </c>
      <c r="E24" s="102">
        <f>+E26/E25</f>
        <v>2.5076065313630482</v>
      </c>
      <c r="F24" s="102">
        <f t="shared" ref="F24:N24" si="47">+F26/F25</f>
        <v>3.110652709333968</v>
      </c>
      <c r="G24" s="102">
        <f t="shared" si="47"/>
        <v>3.995378250684916</v>
      </c>
      <c r="H24" s="102">
        <f t="shared" si="47"/>
        <v>3.5162372813970784</v>
      </c>
      <c r="I24" s="102">
        <f t="shared" si="47"/>
        <v>4.0504581589359736</v>
      </c>
      <c r="J24" s="102">
        <f t="shared" si="47"/>
        <v>2.9265883888118349</v>
      </c>
      <c r="K24" s="102">
        <f t="shared" si="47"/>
        <v>2.1473260789191713</v>
      </c>
      <c r="L24" s="102">
        <f t="shared" si="47"/>
        <v>1.5983696609919555</v>
      </c>
      <c r="M24" s="102">
        <f t="shared" si="47"/>
        <v>2.6062257762420251</v>
      </c>
      <c r="N24" s="102">
        <f t="shared" si="47"/>
        <v>3.5620804069684606</v>
      </c>
      <c r="O24" s="90"/>
      <c r="P24" s="41"/>
      <c r="Q24" s="102">
        <f t="shared" ref="Q24:S24" si="48">+Q26/Q25</f>
        <v>5.2664640346391716</v>
      </c>
      <c r="R24" s="102">
        <f t="shared" si="48"/>
        <v>2.6957682556309819</v>
      </c>
      <c r="S24" s="102">
        <f t="shared" si="48"/>
        <v>2.1215198755547622</v>
      </c>
      <c r="T24" s="102">
        <f t="shared" ref="T24" si="49">+T26/T25</f>
        <v>1.814033832521974</v>
      </c>
      <c r="U24" s="102">
        <f t="shared" ref="U24" si="50">+U26/U25</f>
        <v>2.8412886728101263</v>
      </c>
      <c r="V24" s="102">
        <f t="shared" ref="V24" si="51">+V26/V25</f>
        <v>4.0500003531790565</v>
      </c>
      <c r="W24" s="102">
        <v>3</v>
      </c>
      <c r="X24" s="102">
        <v>3</v>
      </c>
      <c r="Y24" s="102">
        <v>3</v>
      </c>
      <c r="Z24" s="102">
        <v>3</v>
      </c>
      <c r="AA24" s="102">
        <v>3</v>
      </c>
      <c r="AB24" s="102">
        <v>3</v>
      </c>
      <c r="AC24" s="90"/>
      <c r="AE24" s="102">
        <v>3</v>
      </c>
      <c r="AF24" s="102">
        <v>3</v>
      </c>
      <c r="AG24" s="102">
        <v>3</v>
      </c>
      <c r="AH24" s="102">
        <v>3</v>
      </c>
      <c r="AI24" s="102">
        <v>3</v>
      </c>
      <c r="AJ24" s="102">
        <v>3</v>
      </c>
      <c r="AK24" s="102">
        <v>3</v>
      </c>
      <c r="AL24" s="102">
        <v>3</v>
      </c>
      <c r="AM24" s="102">
        <v>3</v>
      </c>
      <c r="AN24" s="102">
        <v>3</v>
      </c>
      <c r="AO24" s="102">
        <v>3</v>
      </c>
      <c r="AP24" s="102">
        <v>3</v>
      </c>
      <c r="AQ24" s="90"/>
    </row>
    <row r="25" spans="1:43" x14ac:dyDescent="0.15">
      <c r="A25" s="29" t="s">
        <v>107</v>
      </c>
      <c r="C25" s="41" t="s">
        <v>106</v>
      </c>
      <c r="D25" s="41" t="s">
        <v>106</v>
      </c>
      <c r="E25" s="49">
        <f>SUM('IS for importing to SW'!C18:D18)/60</f>
        <v>57578.675279999996</v>
      </c>
      <c r="F25" s="49">
        <f>SUM('IS for importing to SW'!D18:E18)/60</f>
        <v>60779.282687200001</v>
      </c>
      <c r="G25" s="49">
        <f>SUM('IS for importing to SW'!E18:F18)/60</f>
        <v>55745.825319952004</v>
      </c>
      <c r="H25" s="49">
        <f>SUM('IS for importing to SW'!F18:G18)/60</f>
        <v>52873.447052337768</v>
      </c>
      <c r="I25" s="49">
        <f>SUM('IS for importing to SW'!G18:H18)/60</f>
        <v>58727.075013262671</v>
      </c>
      <c r="J25" s="49">
        <f>SUM('IS for importing to SW'!H18:I18)/60</f>
        <v>59539.490505071451</v>
      </c>
      <c r="K25" s="49">
        <f>SUM('IS for importing to SW'!I18:J18)/60</f>
        <v>64211.084981394553</v>
      </c>
      <c r="L25" s="49">
        <f>SUM('IS for importing to SW'!J18:K18)/60</f>
        <v>65651.191626392552</v>
      </c>
      <c r="M25" s="49">
        <f>SUM('IS for importing to SW'!K18:L18)/60</f>
        <v>57760.590570266482</v>
      </c>
      <c r="N25" s="49">
        <f>SUM('IS for importing to SW'!L18:M18)/60</f>
        <v>52790.646522538103</v>
      </c>
      <c r="P25" s="41"/>
      <c r="Q25" s="49">
        <f>SUM('IS for importing to SW'!M18:N18)/60</f>
        <v>46172.030414186447</v>
      </c>
      <c r="R25" s="49">
        <f>SUM('IS for importing to SW'!Q18:R18)/60</f>
        <v>66347.313863971183</v>
      </c>
      <c r="S25" s="49">
        <f>SUM('IS for importing to SW'!R18:S18)/60</f>
        <v>66754.94779980676</v>
      </c>
      <c r="T25" s="49">
        <f>SUM('IS for importing to SW'!S18:T18)/60</f>
        <v>59341.398437860698</v>
      </c>
      <c r="U25" s="49">
        <f>SUM('IS for importing to SW'!T18:U18)/60</f>
        <v>54437.678758448623</v>
      </c>
      <c r="V25" s="49">
        <f>SUM('IS for importing to SW'!U18:V18)/60</f>
        <v>47843.238905873892</v>
      </c>
      <c r="W25" s="49">
        <f>SUM('IS Actual &amp; Forecast'!V18:W18)/60</f>
        <v>48828.942885482997</v>
      </c>
      <c r="X25" s="49">
        <f>SUM('IS Actual &amp; Forecast'!W18:X18)/60</f>
        <v>61400.371812802026</v>
      </c>
      <c r="Y25" s="49">
        <f>SUM('IS Actual &amp; Forecast'!X18:Y18)/60</f>
        <v>74013.449293045414</v>
      </c>
      <c r="Z25" s="49">
        <f>SUM('IS Actual &amp; Forecast'!Y18:Z18)/60</f>
        <v>79613.665289730779</v>
      </c>
      <c r="AA25" s="49">
        <f>SUM('IS Actual &amp; Forecast'!Z18:AA18)/60</f>
        <v>77026.447812180995</v>
      </c>
      <c r="AB25" s="49">
        <f>SUM('IS Actual &amp; Forecast'!AA18:AB18)/60</f>
        <v>69326.627001458939</v>
      </c>
      <c r="AE25" s="49">
        <f>SUM('IS Actual &amp; Forecast'!AD18:AE18)/60</f>
        <v>46312.823716598257</v>
      </c>
      <c r="AF25" s="49">
        <f>SUM('IS Actual &amp; Forecast'!AE18:AF18)/60</f>
        <v>104341.37752834187</v>
      </c>
      <c r="AG25" s="49">
        <f>SUM('IS Actual &amp; Forecast'!AF18:AG18)/60</f>
        <v>94368.408461132058</v>
      </c>
      <c r="AH25" s="49">
        <f>SUM('IS Actual &amp; Forecast'!AG18:AH18)/60</f>
        <v>64765.696508465662</v>
      </c>
      <c r="AI25" s="49">
        <f>SUM('IS Actual &amp; Forecast'!AH18:AI18)/60</f>
        <v>58607.397480038569</v>
      </c>
      <c r="AJ25" s="49">
        <f>SUM('IS Actual &amp; Forecast'!AI18:AJ18)/60</f>
        <v>61461.770443829286</v>
      </c>
      <c r="AK25" s="49">
        <f>SUM('IS Actual &amp; Forecast'!AJ18:AK18)/60</f>
        <v>67417.822068071575</v>
      </c>
      <c r="AL25" s="49">
        <f>SUM('IS Actual &amp; Forecast'!AK18:AL18)/60</f>
        <v>81265.994488944896</v>
      </c>
      <c r="AM25" s="49">
        <f>SUM('IS Actual &amp; Forecast'!AL18:AM18)/60</f>
        <v>90351.317474091295</v>
      </c>
      <c r="AN25" s="49">
        <f>SUM('IS Actual &amp; Forecast'!AM18:AN18)/60</f>
        <v>85831.275743317499</v>
      </c>
      <c r="AO25" s="49">
        <f>SUM('IS Actual &amp; Forecast'!AN18:AO18)/60</f>
        <v>76614.411867798524</v>
      </c>
      <c r="AP25" s="49">
        <f>SUM('IS Actual &amp; Forecast'!AO18:AP18)/60</f>
        <v>64307.213099330656</v>
      </c>
    </row>
    <row r="26" spans="1:43" x14ac:dyDescent="0.15">
      <c r="A26" s="29" t="s">
        <v>60</v>
      </c>
      <c r="C26" s="48">
        <f>+'BS Actual &amp; Forecast'!C12</f>
        <v>163581</v>
      </c>
      <c r="D26" s="48">
        <f>+'BS Actual &amp; Forecast'!D12</f>
        <v>181493.93380800006</v>
      </c>
      <c r="E26" s="48">
        <f>+'BS Actual &amp; Forecast'!E12</f>
        <v>144384.66219936009</v>
      </c>
      <c r="F26" s="48">
        <f>+'BS Actual &amp; Forecast'!F12</f>
        <v>189063.24036231381</v>
      </c>
      <c r="G26" s="48">
        <f>+'BS Actual &amp; Forecast'!G12</f>
        <v>222725.65804981673</v>
      </c>
      <c r="H26" s="48">
        <f>+'BS Actual &amp; Forecast'!H12</f>
        <v>185915.58572140452</v>
      </c>
      <c r="I26" s="48">
        <f>+'BS Actual &amp; Forecast'!I12</f>
        <v>237871.56013791473</v>
      </c>
      <c r="J26" s="48">
        <f>+'BS Actual &amp; Forecast'!J12</f>
        <v>174247.58158791461</v>
      </c>
      <c r="K26" s="48">
        <f>+'BS Actual &amp; Forecast'!K12</f>
        <v>137882.13733624364</v>
      </c>
      <c r="L26" s="48">
        <f>+'BS Actual &amp; Forecast'!L12</f>
        <v>104934.87290359498</v>
      </c>
      <c r="M26" s="48">
        <f>+'BS Actual &amp; Forecast'!M12</f>
        <v>150537.13999519055</v>
      </c>
      <c r="N26" s="48">
        <f>+'BS Actual &amp; Forecast'!N12</f>
        <v>188044.52764913067</v>
      </c>
      <c r="P26" s="41"/>
      <c r="Q26" s="48">
        <f>+'BS Actual &amp; Forecast'!Q12</f>
        <v>243163.33758257888</v>
      </c>
      <c r="R26" s="48">
        <f>+'BS Actual &amp; Forecast'!R12</f>
        <v>178856.98256087885</v>
      </c>
      <c r="S26" s="48">
        <f>+'BS Actual &amp; Forecast'!S12</f>
        <v>141621.94854891067</v>
      </c>
      <c r="T26" s="48">
        <f>+'BS Actual &amp; Forecast'!T12</f>
        <v>107647.30443544593</v>
      </c>
      <c r="U26" s="48">
        <f>+'BS Actual &amp; Forecast'!U12</f>
        <v>154673.16003045649</v>
      </c>
      <c r="V26" s="48">
        <f>+'BS Actual &amp; Forecast'!V12</f>
        <v>193765.13446601923</v>
      </c>
      <c r="W26" s="48">
        <f>+W24*W25</f>
        <v>146486.82865644898</v>
      </c>
      <c r="X26" s="48">
        <f t="shared" ref="X26:AB26" si="52">+X24*X25</f>
        <v>184201.11543840606</v>
      </c>
      <c r="Y26" s="48">
        <f t="shared" si="52"/>
        <v>222040.34787913624</v>
      </c>
      <c r="Z26" s="48">
        <f t="shared" si="52"/>
        <v>238840.99586919235</v>
      </c>
      <c r="AA26" s="48">
        <f t="shared" si="52"/>
        <v>231079.34343654299</v>
      </c>
      <c r="AB26" s="48">
        <f t="shared" si="52"/>
        <v>207979.8810043768</v>
      </c>
      <c r="AE26" s="48">
        <f t="shared" ref="AE26:AF26" si="53">+AE24*AE25</f>
        <v>138938.47114979476</v>
      </c>
      <c r="AF26" s="48">
        <f t="shared" si="53"/>
        <v>313024.13258502563</v>
      </c>
      <c r="AG26" s="48">
        <f t="shared" ref="AG26:AP26" si="54">+AG24*AG25</f>
        <v>283105.22538339614</v>
      </c>
      <c r="AH26" s="48">
        <f t="shared" si="54"/>
        <v>194297.08952539699</v>
      </c>
      <c r="AI26" s="48">
        <f t="shared" si="54"/>
        <v>175822.1924401157</v>
      </c>
      <c r="AJ26" s="48">
        <f t="shared" si="54"/>
        <v>184385.31133148784</v>
      </c>
      <c r="AK26" s="48">
        <f t="shared" si="54"/>
        <v>202253.46620421472</v>
      </c>
      <c r="AL26" s="48">
        <f t="shared" si="54"/>
        <v>243797.9834668347</v>
      </c>
      <c r="AM26" s="48">
        <f t="shared" si="54"/>
        <v>271053.95242227387</v>
      </c>
      <c r="AN26" s="48">
        <f t="shared" si="54"/>
        <v>257493.8272299525</v>
      </c>
      <c r="AO26" s="48">
        <f t="shared" si="54"/>
        <v>229843.23560339556</v>
      </c>
      <c r="AP26" s="48">
        <f t="shared" si="54"/>
        <v>192921.63929799196</v>
      </c>
    </row>
    <row r="27" spans="1:43" x14ac:dyDescent="0.15">
      <c r="P27" s="41"/>
    </row>
    <row r="28" spans="1:43" x14ac:dyDescent="0.15">
      <c r="A28" s="97" t="s">
        <v>38</v>
      </c>
      <c r="B28" s="90"/>
      <c r="C28" s="99">
        <f>+'POM Actual &amp; Forecast'!C51</f>
        <v>0</v>
      </c>
      <c r="D28" s="99">
        <f>+'POM Actual &amp; Forecast'!D51</f>
        <v>0</v>
      </c>
      <c r="E28" s="99">
        <f>+'POM Actual &amp; Forecast'!E51</f>
        <v>-15545</v>
      </c>
      <c r="F28" s="99">
        <f>+'POM Actual &amp; Forecast'!F51</f>
        <v>0</v>
      </c>
      <c r="G28" s="99">
        <f>+'POM Actual &amp; Forecast'!G51</f>
        <v>-3590</v>
      </c>
      <c r="H28" s="99">
        <f>+'POM Actual &amp; Forecast'!H51</f>
        <v>0</v>
      </c>
      <c r="I28" s="99">
        <f>+'POM Actual &amp; Forecast'!I51</f>
        <v>0</v>
      </c>
      <c r="J28" s="99">
        <f>+'POM Actual &amp; Forecast'!J51</f>
        <v>-23989</v>
      </c>
      <c r="K28" s="99">
        <f>+'POM Actual &amp; Forecast'!K51</f>
        <v>0</v>
      </c>
      <c r="L28" s="99">
        <f>+'POM Actual &amp; Forecast'!L51</f>
        <v>-4470</v>
      </c>
      <c r="M28" s="99">
        <f>+'POM Actual &amp; Forecast'!M51</f>
        <v>0</v>
      </c>
      <c r="N28" s="99">
        <f>+'POM Actual &amp; Forecast'!N51</f>
        <v>0</v>
      </c>
      <c r="O28" s="99">
        <f>SUM(C28:N28)</f>
        <v>-47594</v>
      </c>
      <c r="P28" s="41"/>
      <c r="Q28" s="103">
        <f>+'POM Actual &amp; Forecast'!Q51</f>
        <v>-11250</v>
      </c>
      <c r="R28" s="103">
        <f>+'POM Actual &amp; Forecast'!R51</f>
        <v>0</v>
      </c>
      <c r="S28" s="103">
        <f>+'POM Actual &amp; Forecast'!S51</f>
        <v>-18752</v>
      </c>
      <c r="T28" s="103">
        <f>+'POM Actual &amp; Forecast'!T51</f>
        <v>0</v>
      </c>
      <c r="U28" s="103">
        <f>+'POM Actual &amp; Forecast'!U51</f>
        <v>0</v>
      </c>
      <c r="V28" s="103">
        <f>+'POM Actual &amp; Forecast'!V51</f>
        <v>0</v>
      </c>
      <c r="W28" s="103">
        <v>-25000</v>
      </c>
      <c r="X28" s="103">
        <v>0</v>
      </c>
      <c r="Y28" s="103">
        <v>0</v>
      </c>
      <c r="Z28" s="103">
        <v>-15000</v>
      </c>
      <c r="AA28" s="103">
        <v>0</v>
      </c>
      <c r="AB28" s="103">
        <v>0</v>
      </c>
      <c r="AC28" s="99">
        <f>SUM(Q28:AB28)</f>
        <v>-70002</v>
      </c>
      <c r="AE28" s="110">
        <v>-15000</v>
      </c>
      <c r="AF28" s="110">
        <f>+'BS Actual &amp; Forecast'!AE24-'BS Actual &amp; Forecast'!AF24</f>
        <v>0</v>
      </c>
      <c r="AG28" s="110">
        <v>-10000</v>
      </c>
      <c r="AH28" s="110">
        <f>+'BS Actual &amp; Forecast'!AG24-'BS Actual &amp; Forecast'!AH24</f>
        <v>0</v>
      </c>
      <c r="AI28" s="110">
        <f>+'BS Actual &amp; Forecast'!AH24-'BS Actual &amp; Forecast'!AI24</f>
        <v>0</v>
      </c>
      <c r="AJ28" s="110">
        <v>-25000</v>
      </c>
      <c r="AK28" s="110">
        <f>+'BS Actual &amp; Forecast'!AJ24-'BS Actual &amp; Forecast'!AK24</f>
        <v>0</v>
      </c>
      <c r="AL28" s="110">
        <f>+'BS Actual &amp; Forecast'!AK24-'BS Actual &amp; Forecast'!AL24</f>
        <v>0</v>
      </c>
      <c r="AM28" s="110">
        <v>-50000</v>
      </c>
      <c r="AN28" s="110">
        <f>+'BS Actual &amp; Forecast'!AM24-'BS Actual &amp; Forecast'!AN24</f>
        <v>0</v>
      </c>
      <c r="AO28" s="110">
        <f>+'BS Actual &amp; Forecast'!AN24-'BS Actual &amp; Forecast'!AO24</f>
        <v>0</v>
      </c>
      <c r="AP28" s="110">
        <f>+'BS Actual &amp; Forecast'!AO24-'BS Actual &amp; Forecast'!AP24</f>
        <v>0</v>
      </c>
      <c r="AQ28" s="99">
        <f>SUM(AE28:AP28)</f>
        <v>-100000</v>
      </c>
    </row>
    <row r="29" spans="1:43" x14ac:dyDescent="0.15">
      <c r="P29" s="41"/>
      <c r="W29" s="106"/>
    </row>
    <row r="30" spans="1:43" x14ac:dyDescent="0.15">
      <c r="A30" s="97" t="s">
        <v>102</v>
      </c>
      <c r="B30" s="90"/>
      <c r="C30" s="98" t="s">
        <v>106</v>
      </c>
      <c r="D30" s="98" t="s">
        <v>106</v>
      </c>
      <c r="E30" s="102">
        <f>+E32/E31</f>
        <v>31.570473837036712</v>
      </c>
      <c r="F30" s="102">
        <f t="shared" ref="F30:N30" si="55">+F32/F31</f>
        <v>23.998769016116718</v>
      </c>
      <c r="G30" s="102">
        <f t="shared" si="55"/>
        <v>29.524406090768878</v>
      </c>
      <c r="H30" s="102">
        <f t="shared" si="55"/>
        <v>34.01470847763153</v>
      </c>
      <c r="I30" s="102">
        <f t="shared" si="55"/>
        <v>28.891413040828418</v>
      </c>
      <c r="J30" s="102">
        <f t="shared" si="55"/>
        <v>35.002677828988837</v>
      </c>
      <c r="K30" s="102">
        <f t="shared" si="55"/>
        <v>27.882310382637744</v>
      </c>
      <c r="L30" s="102">
        <f t="shared" si="55"/>
        <v>24.662919441576232</v>
      </c>
      <c r="M30" s="102">
        <f t="shared" si="55"/>
        <v>25.75342522708743</v>
      </c>
      <c r="N30" s="102">
        <f t="shared" si="55"/>
        <v>23.150516506743859</v>
      </c>
      <c r="O30" s="90"/>
      <c r="P30" s="41"/>
      <c r="Q30" s="102">
        <f t="shared" ref="Q30:S30" si="56">+Q32/Q31</f>
        <v>27.960523367555599</v>
      </c>
      <c r="R30" s="102">
        <f t="shared" si="56"/>
        <v>23.556951370930655</v>
      </c>
      <c r="S30" s="102">
        <f t="shared" si="56"/>
        <v>25.830342870390677</v>
      </c>
      <c r="T30" s="102">
        <f t="shared" ref="T30" si="57">+T32/T31</f>
        <v>26.434623862124017</v>
      </c>
      <c r="U30" s="102">
        <f t="shared" ref="U30" si="58">+U32/U31</f>
        <v>26.511625795856965</v>
      </c>
      <c r="V30" s="102">
        <f t="shared" ref="V30" si="59">+V32/V31</f>
        <v>24.924288025363911</v>
      </c>
      <c r="W30" s="102">
        <v>25</v>
      </c>
      <c r="X30" s="102">
        <v>25</v>
      </c>
      <c r="Y30" s="102">
        <v>25</v>
      </c>
      <c r="Z30" s="102">
        <v>25</v>
      </c>
      <c r="AA30" s="102">
        <v>25</v>
      </c>
      <c r="AB30" s="102">
        <v>25</v>
      </c>
      <c r="AC30" s="90"/>
      <c r="AE30" s="102">
        <v>25</v>
      </c>
      <c r="AF30" s="102">
        <v>25</v>
      </c>
      <c r="AG30" s="102">
        <v>25</v>
      </c>
      <c r="AH30" s="102">
        <v>25</v>
      </c>
      <c r="AI30" s="102">
        <v>25</v>
      </c>
      <c r="AJ30" s="102">
        <v>25</v>
      </c>
      <c r="AK30" s="102">
        <v>25</v>
      </c>
      <c r="AL30" s="102">
        <v>25</v>
      </c>
      <c r="AM30" s="102">
        <v>25</v>
      </c>
      <c r="AN30" s="102">
        <v>25</v>
      </c>
      <c r="AO30" s="102">
        <v>25</v>
      </c>
      <c r="AP30" s="102">
        <v>25</v>
      </c>
      <c r="AQ30" s="90"/>
    </row>
    <row r="31" spans="1:43" x14ac:dyDescent="0.15">
      <c r="A31" s="29" t="s">
        <v>109</v>
      </c>
      <c r="C31" s="41" t="s">
        <v>106</v>
      </c>
      <c r="D31" s="41" t="s">
        <v>106</v>
      </c>
      <c r="E31" s="49">
        <f>(SUM('IS for importing to SW'!C18:D18)+SUM('IS for importing to SW'!C24:D35))/60</f>
        <v>59512.740384166667</v>
      </c>
      <c r="F31" s="49">
        <f>(SUM('IS for importing to SW'!D18:E18)+SUM('IS for importing to SW'!D24:E35))/60</f>
        <v>62838.779017557143</v>
      </c>
      <c r="G31" s="49">
        <f>(SUM('IS for importing to SW'!E18:F18)+SUM('IS for importing to SW'!E24:F35))/60</f>
        <v>57726.171226572842</v>
      </c>
      <c r="H31" s="49">
        <f>(SUM('IS for importing to SW'!F18:G18)+SUM('IS for importing to SW'!F24:G35))/60</f>
        <v>54790.912902138109</v>
      </c>
      <c r="I31" s="49">
        <f>(SUM('IS for importing to SW'!G18:H18)+SUM('IS for importing to SW'!G24:H35))/60</f>
        <v>60699.354271675991</v>
      </c>
      <c r="J31" s="49">
        <f>(SUM('IS for importing to SW'!H18:I18)+SUM('IS for importing to SW'!H24:I35))/60</f>
        <v>61353.15663646828</v>
      </c>
      <c r="K31" s="49">
        <f>(SUM('IS for importing to SW'!I18:J18)+SUM('IS for importing to SW'!I24:J35))/60</f>
        <v>66034.175394770005</v>
      </c>
      <c r="L31" s="49">
        <f>(SUM('IS for importing to SW'!J18:K18)+SUM('IS for importing to SW'!J24:K35))/60</f>
        <v>67636.86912093994</v>
      </c>
      <c r="M31" s="49">
        <f>(SUM('IS for importing to SW'!K18:L18)+SUM('IS for importing to SW'!K24:L35))/60</f>
        <v>59768.009857877812</v>
      </c>
      <c r="N31" s="49">
        <f>(SUM('IS for importing to SW'!L18:M18)+SUM('IS for importing to SW'!L24:M35))/60</f>
        <v>54685.664289891254</v>
      </c>
      <c r="P31" s="41"/>
      <c r="Q31" s="49">
        <f>(SUM('IS Actual &amp; Forecast'!M18:N18)+SUM('IS Actual &amp; Forecast'!M24:N35))/60</f>
        <v>47976.153957902599</v>
      </c>
      <c r="R31" s="49">
        <f>(SUM('IS Actual &amp; Forecast'!Q18:R18)+SUM('IS Actual &amp; Forecast'!Q24:R35))/60</f>
        <v>68363.530936887852</v>
      </c>
      <c r="S31" s="49">
        <f>(SUM('IS Actual &amp; Forecast'!R18:S18)+SUM('IS Actual &amp; Forecast'!R24:S35))/60</f>
        <v>68824.846141056754</v>
      </c>
      <c r="T31" s="49">
        <f>(SUM('IS Actual &amp; Forecast'!S18:T18)+SUM('IS Actual &amp; Forecast'!S24:T35))/60</f>
        <v>61362.839267450217</v>
      </c>
      <c r="U31" s="49">
        <f>(SUM('IS Actual &amp; Forecast'!T18:U18)+SUM('IS Actual &amp; Forecast'!T24:U35))/60</f>
        <v>56458.944012671127</v>
      </c>
      <c r="V31" s="49">
        <f>(SUM('IS Actual &amp; Forecast'!U18:V18)+SUM('IS Actual &amp; Forecast'!U24:V35))/60</f>
        <v>49922.606373226146</v>
      </c>
      <c r="W31" s="49">
        <f>(SUM('IS Actual &amp; Forecast'!V18:W18)+SUM('IS Actual &amp; Forecast'!V24:W35))/60</f>
        <v>50879.937755429797</v>
      </c>
      <c r="X31" s="49">
        <f>(SUM('IS Actual &amp; Forecast'!W18:X18)+SUM('IS Actual &amp; Forecast'!W24:X35))/60</f>
        <v>63484.842478212711</v>
      </c>
      <c r="Y31" s="49">
        <f>(SUM('IS Actual &amp; Forecast'!X18:Y18)+SUM('IS Actual &amp; Forecast'!X24:Y35))/60</f>
        <v>76106.581331776877</v>
      </c>
      <c r="Z31" s="49">
        <f>(SUM('IS Actual &amp; Forecast'!Y18:Z18)+SUM('IS Actual &amp; Forecast'!Y24:Z35))/60</f>
        <v>81715.545315516225</v>
      </c>
      <c r="AA31" s="49">
        <f>(SUM('IS Actual &amp; Forecast'!Z18:AA18)+SUM('IS Actual &amp; Forecast'!Z24:AA35))/60</f>
        <v>79137.163304890957</v>
      </c>
      <c r="AB31" s="49">
        <f>(SUM('IS Actual &amp; Forecast'!AA18:AB18)+SUM('IS Actual &amp; Forecast'!AA24:AB35))/60</f>
        <v>71446.266315762667</v>
      </c>
      <c r="AE31" s="49">
        <f>(SUM('IS Actual &amp; Forecast'!AD18:AE18)+SUM('IS Actual &amp; Forecast'!AD24:AE35))/60</f>
        <v>47399.16676659826</v>
      </c>
      <c r="AF31" s="49">
        <f>(SUM('IS Actual &amp; Forecast'!AE18:AF18)+SUM('IS Actual &amp; Forecast'!AE24:AF35))/60</f>
        <v>106510.27188719602</v>
      </c>
      <c r="AG31" s="49">
        <f>(SUM('IS Actual &amp; Forecast'!AF18:AG18)+SUM('IS Actual &amp; Forecast'!AF24:AG35))/60</f>
        <v>96592.417235902889</v>
      </c>
      <c r="AH31" s="49">
        <f>(SUM('IS Actual &amp; Forecast'!AG18:AH18)+SUM('IS Actual &amp; Forecast'!AG24:AH35))/60</f>
        <v>66938.627484630357</v>
      </c>
      <c r="AI31" s="49">
        <f>(SUM('IS Actual &amp; Forecast'!AH18:AI18)+SUM('IS Actual &amp; Forecast'!AH24:AI35))/60</f>
        <v>60726.447020222353</v>
      </c>
      <c r="AJ31" s="49">
        <f>(SUM('IS Actual &amp; Forecast'!AI18:AJ18)+SUM('IS Actual &amp; Forecast'!AI24:AJ35))/60</f>
        <v>63631.986673165251</v>
      </c>
      <c r="AK31" s="49">
        <f>(SUM('IS Actual &amp; Forecast'!AJ18:AK18)+SUM('IS Actual &amp; Forecast'!AJ24:AK35))/60</f>
        <v>69590.903785899471</v>
      </c>
      <c r="AL31" s="49">
        <f>(SUM('IS Actual &amp; Forecast'!AK18:AL18)+SUM('IS Actual &amp; Forecast'!AK24:AL35))/60</f>
        <v>83451.315940984554</v>
      </c>
      <c r="AM31" s="49">
        <f>(SUM('IS Actual &amp; Forecast'!AL18:AM18)+SUM('IS Actual &amp; Forecast'!AL24:AM35))/60</f>
        <v>92545.560140651374</v>
      </c>
      <c r="AN31" s="49">
        <f>(SUM('IS Actual &amp; Forecast'!AM18:AN18)+SUM('IS Actual &amp; Forecast'!AM24:AN35))/60</f>
        <v>88034.528836543162</v>
      </c>
      <c r="AO31" s="49">
        <f>(SUM('IS Actual &amp; Forecast'!AN18:AO18)+SUM('IS Actual &amp; Forecast'!AN24:AO35))/60</f>
        <v>78826.765491956452</v>
      </c>
      <c r="AP31" s="49">
        <f>(SUM('IS Actual &amp; Forecast'!AO18:AP18)+SUM('IS Actual &amp; Forecast'!AO24:AP35))/60</f>
        <v>66528.758259730166</v>
      </c>
    </row>
    <row r="32" spans="1:43" x14ac:dyDescent="0.15">
      <c r="A32" s="29" t="s">
        <v>103</v>
      </c>
      <c r="C32" s="48">
        <f>+'BS Actual &amp; Forecast'!C31</f>
        <v>1684389</v>
      </c>
      <c r="D32" s="48">
        <f>+'BS Actual &amp; Forecast'!D31</f>
        <v>1813866.5656542056</v>
      </c>
      <c r="E32" s="48">
        <f>+'BS Actual &amp; Forecast'!E31</f>
        <v>1878845.4132686919</v>
      </c>
      <c r="F32" s="48">
        <f>+'BS Actual &amp; Forecast'!F31</f>
        <v>1508053.3428971558</v>
      </c>
      <c r="G32" s="48">
        <f>+'BS Actual &amp; Forecast'!G31</f>
        <v>1704330.9213585944</v>
      </c>
      <c r="H32" s="48">
        <f>+'BS Actual &amp; Forecast'!H31</f>
        <v>1863696.9295895279</v>
      </c>
      <c r="I32" s="48">
        <f>+'BS Actual &amp; Forecast'!I31</f>
        <v>1753690.1155745639</v>
      </c>
      <c r="J32" s="48">
        <f>+'BS Actual &amp; Forecast'!J31</f>
        <v>2147524.7755377875</v>
      </c>
      <c r="K32" s="48">
        <f>+'BS Actual &amp; Forecast'!K31</f>
        <v>1841185.3742185177</v>
      </c>
      <c r="L32" s="48">
        <f>+'BS Actual &amp; Forecast'!L31</f>
        <v>1668122.6544101767</v>
      </c>
      <c r="M32" s="48">
        <f>+'BS Actual &amp; Forecast'!M31</f>
        <v>1539230.9728466806</v>
      </c>
      <c r="N32" s="48">
        <f>+'BS Actual &amp; Forecast'!N31</f>
        <v>1266001.3738253806</v>
      </c>
      <c r="P32" s="41"/>
      <c r="Q32" s="48">
        <f>+'BS Actual &amp; Forecast'!Q31</f>
        <v>1341438.3738253806</v>
      </c>
      <c r="R32" s="48">
        <f>+'BS Actual &amp; Forecast'!R31</f>
        <v>1610436.3738253806</v>
      </c>
      <c r="S32" s="48">
        <f>+'BS Actual &amp; Forecast'!S31</f>
        <v>1777769.3738253806</v>
      </c>
      <c r="T32" s="48">
        <f>+'BS Actual &amp; Forecast'!T31</f>
        <v>1622103.5751470202</v>
      </c>
      <c r="U32" s="48">
        <f>+'BS Actual &amp; Forecast'!U31</f>
        <v>1496818.396493176</v>
      </c>
      <c r="V32" s="48">
        <f>+'BS Actual &amp; Forecast'!V31</f>
        <v>1244285.4202231565</v>
      </c>
      <c r="W32" s="48">
        <f>+W30*W31</f>
        <v>1271998.443885745</v>
      </c>
      <c r="X32" s="48">
        <f t="shared" ref="X32:AB32" si="60">+X30*X31</f>
        <v>1587121.0619553179</v>
      </c>
      <c r="Y32" s="48">
        <f t="shared" si="60"/>
        <v>1902664.5332944219</v>
      </c>
      <c r="Z32" s="48">
        <f t="shared" si="60"/>
        <v>2042888.6328879057</v>
      </c>
      <c r="AA32" s="48">
        <f t="shared" si="60"/>
        <v>1978429.0826222738</v>
      </c>
      <c r="AB32" s="48">
        <f t="shared" si="60"/>
        <v>1786156.6578940668</v>
      </c>
      <c r="AE32" s="48">
        <f t="shared" ref="AE32:AF32" si="61">+AE30*AE31</f>
        <v>1184979.1691649565</v>
      </c>
      <c r="AF32" s="48">
        <f t="shared" si="61"/>
        <v>2662756.7971799006</v>
      </c>
      <c r="AG32" s="48">
        <f t="shared" ref="AG32:AP32" si="62">+AG30*AG31</f>
        <v>2414810.4308975721</v>
      </c>
      <c r="AH32" s="48">
        <f t="shared" si="62"/>
        <v>1673465.6871157589</v>
      </c>
      <c r="AI32" s="48">
        <f t="shared" si="62"/>
        <v>1518161.1755055587</v>
      </c>
      <c r="AJ32" s="48">
        <f t="shared" si="62"/>
        <v>1590799.6668291313</v>
      </c>
      <c r="AK32" s="48">
        <f t="shared" si="62"/>
        <v>1739772.5946474867</v>
      </c>
      <c r="AL32" s="48">
        <f t="shared" si="62"/>
        <v>2086282.8985246138</v>
      </c>
      <c r="AM32" s="48">
        <f t="shared" si="62"/>
        <v>2313639.0035162843</v>
      </c>
      <c r="AN32" s="48">
        <f t="shared" si="62"/>
        <v>2200863.2209135792</v>
      </c>
      <c r="AO32" s="48">
        <f t="shared" si="62"/>
        <v>1970669.1372989113</v>
      </c>
      <c r="AP32" s="48">
        <f t="shared" si="62"/>
        <v>1663218.9564932541</v>
      </c>
    </row>
    <row r="33" spans="1:43" x14ac:dyDescent="0.15">
      <c r="P33" s="41"/>
    </row>
    <row r="34" spans="1:43" x14ac:dyDescent="0.15">
      <c r="A34" s="90" t="s">
        <v>170</v>
      </c>
      <c r="B34" s="90"/>
      <c r="C34" s="104">
        <f>+'POM Actual &amp; Forecast'!C43</f>
        <v>-10000</v>
      </c>
      <c r="D34" s="104">
        <f>+'POM Actual &amp; Forecast'!D43</f>
        <v>-10000</v>
      </c>
      <c r="E34" s="104">
        <f>+'POM Actual &amp; Forecast'!E43</f>
        <v>-10000</v>
      </c>
      <c r="F34" s="104">
        <f>+'POM Actual &amp; Forecast'!F43</f>
        <v>-10000</v>
      </c>
      <c r="G34" s="104">
        <f>+'POM Actual &amp; Forecast'!G43</f>
        <v>-10000</v>
      </c>
      <c r="H34" s="104">
        <f>+'POM Actual &amp; Forecast'!H43</f>
        <v>-10000</v>
      </c>
      <c r="I34" s="104">
        <f>+'POM Actual &amp; Forecast'!I43</f>
        <v>-10000</v>
      </c>
      <c r="J34" s="104">
        <f>+'POM Actual &amp; Forecast'!J43</f>
        <v>-10000</v>
      </c>
      <c r="K34" s="104">
        <f>+'POM Actual &amp; Forecast'!K43</f>
        <v>-10000</v>
      </c>
      <c r="L34" s="104">
        <f>+'POM Actual &amp; Forecast'!L43</f>
        <v>-10000</v>
      </c>
      <c r="M34" s="104">
        <f>+'POM Actual &amp; Forecast'!M43</f>
        <v>-10000</v>
      </c>
      <c r="N34" s="104">
        <f>+'POM Actual &amp; Forecast'!N43</f>
        <v>-10000</v>
      </c>
      <c r="O34" s="99">
        <f>SUM(C34:N34)</f>
        <v>-120000</v>
      </c>
      <c r="P34" s="41"/>
      <c r="Q34" s="104">
        <f>+'POM Actual &amp; Forecast'!Q43</f>
        <v>-10000</v>
      </c>
      <c r="R34" s="104">
        <f>+'POM Actual &amp; Forecast'!R43</f>
        <v>-10000</v>
      </c>
      <c r="S34" s="104">
        <f>+'POM Actual &amp; Forecast'!S43</f>
        <v>-10000</v>
      </c>
      <c r="T34" s="104">
        <f>+'POM Actual &amp; Forecast'!T43</f>
        <v>-10000</v>
      </c>
      <c r="U34" s="104">
        <f>+'POM Actual &amp; Forecast'!U43</f>
        <v>-10000</v>
      </c>
      <c r="V34" s="104">
        <f>+'POM Actual &amp; Forecast'!V43</f>
        <v>-10000</v>
      </c>
      <c r="W34" s="110">
        <v>-10000</v>
      </c>
      <c r="X34" s="110">
        <v>-10000</v>
      </c>
      <c r="Y34" s="110">
        <v>-10000</v>
      </c>
      <c r="Z34" s="110">
        <v>-10000</v>
      </c>
      <c r="AA34" s="110">
        <v>-10000</v>
      </c>
      <c r="AB34" s="110">
        <v>-10000</v>
      </c>
      <c r="AC34" s="99">
        <f>SUM(Q34:AB34)</f>
        <v>-120000</v>
      </c>
      <c r="AE34" s="110">
        <v>-10000</v>
      </c>
      <c r="AF34" s="110">
        <v>-10000</v>
      </c>
      <c r="AG34" s="110">
        <v>-10000</v>
      </c>
      <c r="AH34" s="110">
        <v>-10000</v>
      </c>
      <c r="AI34" s="110">
        <v>-10000</v>
      </c>
      <c r="AJ34" s="110">
        <v>-10000</v>
      </c>
      <c r="AK34" s="110">
        <f>-'BS Actual &amp; Forecast'!AJ32/6</f>
        <v>-31375</v>
      </c>
      <c r="AL34" s="110">
        <f>+AK34</f>
        <v>-31375</v>
      </c>
      <c r="AM34" s="110">
        <f t="shared" ref="AM34:AP35" si="63">+AL34</f>
        <v>-31375</v>
      </c>
      <c r="AN34" s="110">
        <f t="shared" si="63"/>
        <v>-31375</v>
      </c>
      <c r="AO34" s="110">
        <f t="shared" si="63"/>
        <v>-31375</v>
      </c>
      <c r="AP34" s="110">
        <f t="shared" si="63"/>
        <v>-31375</v>
      </c>
      <c r="AQ34" s="99">
        <f>SUM(AE34:AP34)</f>
        <v>-248250</v>
      </c>
    </row>
    <row r="35" spans="1:43" x14ac:dyDescent="0.15">
      <c r="A35" s="90" t="s">
        <v>171</v>
      </c>
      <c r="B35" s="90"/>
      <c r="C35" s="104">
        <f>+'POM Actual &amp; Forecast'!C44</f>
        <v>-5000</v>
      </c>
      <c r="D35" s="104">
        <f>+'POM Actual &amp; Forecast'!D44</f>
        <v>-5000</v>
      </c>
      <c r="E35" s="104">
        <f>+'POM Actual &amp; Forecast'!E44</f>
        <v>-5000</v>
      </c>
      <c r="F35" s="104">
        <f>+'POM Actual &amp; Forecast'!F44</f>
        <v>-5000</v>
      </c>
      <c r="G35" s="104">
        <f>+'POM Actual &amp; Forecast'!G44</f>
        <v>-5000</v>
      </c>
      <c r="H35" s="104">
        <f>+'POM Actual &amp; Forecast'!H44</f>
        <v>-5000</v>
      </c>
      <c r="I35" s="104">
        <f>+'POM Actual &amp; Forecast'!I44</f>
        <v>-5000</v>
      </c>
      <c r="J35" s="104">
        <f>+'POM Actual &amp; Forecast'!J44</f>
        <v>-5000</v>
      </c>
      <c r="K35" s="104">
        <f>+'POM Actual &amp; Forecast'!K44</f>
        <v>-5000</v>
      </c>
      <c r="L35" s="104">
        <f>+'POM Actual &amp; Forecast'!L44</f>
        <v>-5000</v>
      </c>
      <c r="M35" s="104">
        <f>+'POM Actual &amp; Forecast'!M44</f>
        <v>-5000</v>
      </c>
      <c r="N35" s="104">
        <f>+'POM Actual &amp; Forecast'!N44</f>
        <v>-5000</v>
      </c>
      <c r="O35" s="99">
        <f>SUM(C35:N35)</f>
        <v>-60000</v>
      </c>
      <c r="P35" s="41"/>
      <c r="Q35" s="104">
        <f>+'POM Actual &amp; Forecast'!Q44</f>
        <v>-5000</v>
      </c>
      <c r="R35" s="104">
        <f>+'POM Actual &amp; Forecast'!R44</f>
        <v>-5000</v>
      </c>
      <c r="S35" s="104">
        <f>+'POM Actual &amp; Forecast'!S44</f>
        <v>-5000</v>
      </c>
      <c r="T35" s="104">
        <f>+'POM Actual &amp; Forecast'!T44</f>
        <v>-5000</v>
      </c>
      <c r="U35" s="104">
        <f>+'POM Actual &amp; Forecast'!U44</f>
        <v>-5000</v>
      </c>
      <c r="V35" s="104">
        <f>+'POM Actual &amp; Forecast'!V44</f>
        <v>-5000</v>
      </c>
      <c r="W35" s="110">
        <v>-5000</v>
      </c>
      <c r="X35" s="110">
        <v>-5000</v>
      </c>
      <c r="Y35" s="110">
        <v>-5000</v>
      </c>
      <c r="Z35" s="110">
        <v>-5000</v>
      </c>
      <c r="AA35" s="110">
        <v>-5000</v>
      </c>
      <c r="AB35" s="110">
        <v>-5000</v>
      </c>
      <c r="AC35" s="99">
        <f>SUM(Q35:AB35)</f>
        <v>-60000</v>
      </c>
      <c r="AE35" s="110">
        <v>-5000</v>
      </c>
      <c r="AF35" s="110">
        <v>-5000</v>
      </c>
      <c r="AG35" s="110">
        <v>-5000</v>
      </c>
      <c r="AH35" s="110">
        <v>-5000</v>
      </c>
      <c r="AI35" s="110">
        <v>-5000</v>
      </c>
      <c r="AJ35" s="110">
        <v>-5000</v>
      </c>
      <c r="AK35" s="110">
        <f>-'BS Actual &amp; Forecast'!AJ37/6</f>
        <v>-170707.5</v>
      </c>
      <c r="AL35" s="110">
        <f>+AK35</f>
        <v>-170707.5</v>
      </c>
      <c r="AM35" s="110">
        <f t="shared" si="63"/>
        <v>-170707.5</v>
      </c>
      <c r="AN35" s="110">
        <f t="shared" si="63"/>
        <v>-170707.5</v>
      </c>
      <c r="AO35" s="110">
        <f t="shared" si="63"/>
        <v>-170707.5</v>
      </c>
      <c r="AP35" s="110">
        <f t="shared" si="63"/>
        <v>-170707.5</v>
      </c>
      <c r="AQ35" s="99">
        <f>SUM(AE35:AP35)</f>
        <v>-1054245</v>
      </c>
    </row>
    <row r="36" spans="1:43" x14ac:dyDescent="0.15">
      <c r="P36" s="41"/>
    </row>
    <row r="37" spans="1:43" x14ac:dyDescent="0.15">
      <c r="P37" s="41"/>
    </row>
    <row r="38" spans="1:43" x14ac:dyDescent="0.15">
      <c r="A38" s="97" t="s">
        <v>96</v>
      </c>
      <c r="B38" s="90"/>
      <c r="C38" s="105">
        <f>+'POM Actual &amp; Forecast'!C64</f>
        <v>-75000</v>
      </c>
      <c r="D38" s="105">
        <f>+'POM Actual &amp; Forecast'!D64</f>
        <v>-75000</v>
      </c>
      <c r="E38" s="105">
        <f>+'POM Actual &amp; Forecast'!E64</f>
        <v>-75000</v>
      </c>
      <c r="F38" s="105">
        <f>+'POM Actual &amp; Forecast'!F64</f>
        <v>-75000</v>
      </c>
      <c r="G38" s="105">
        <f>+'POM Actual &amp; Forecast'!G64</f>
        <v>-75000</v>
      </c>
      <c r="H38" s="105">
        <f>+'POM Actual &amp; Forecast'!H64</f>
        <v>-75000</v>
      </c>
      <c r="I38" s="105">
        <f>+'POM Actual &amp; Forecast'!I64</f>
        <v>-75000</v>
      </c>
      <c r="J38" s="105">
        <f>+'POM Actual &amp; Forecast'!J64</f>
        <v>-75000</v>
      </c>
      <c r="K38" s="105">
        <f>+'POM Actual &amp; Forecast'!K64</f>
        <v>-75000</v>
      </c>
      <c r="L38" s="105">
        <f>+'POM Actual &amp; Forecast'!L64</f>
        <v>-75000</v>
      </c>
      <c r="M38" s="105">
        <f>+'POM Actual &amp; Forecast'!M64</f>
        <v>-75000</v>
      </c>
      <c r="N38" s="105">
        <f>+'POM Actual &amp; Forecast'!N64</f>
        <v>-400000</v>
      </c>
      <c r="O38" s="99">
        <f>SUM(C38:N38)</f>
        <v>-1225000</v>
      </c>
      <c r="P38" s="41"/>
      <c r="Q38" s="105">
        <f>+'POM Actual &amp; Forecast'!Q64</f>
        <v>-100000</v>
      </c>
      <c r="R38" s="105">
        <f>+'POM Actual &amp; Forecast'!R64</f>
        <v>-100000</v>
      </c>
      <c r="S38" s="105">
        <f>+'POM Actual &amp; Forecast'!S64</f>
        <v>-100000</v>
      </c>
      <c r="T38" s="105">
        <f>+'POM Actual &amp; Forecast'!T64</f>
        <v>-100000</v>
      </c>
      <c r="U38" s="105">
        <f>+'POM Actual &amp; Forecast'!U64</f>
        <v>-100000</v>
      </c>
      <c r="V38" s="105">
        <f>+'POM Actual &amp; Forecast'!V64</f>
        <v>-100000</v>
      </c>
      <c r="W38" s="105">
        <v>-100000</v>
      </c>
      <c r="X38" s="105">
        <v>0</v>
      </c>
      <c r="Y38" s="105">
        <v>0</v>
      </c>
      <c r="Z38" s="105">
        <v>0</v>
      </c>
      <c r="AA38" s="105">
        <v>0</v>
      </c>
      <c r="AB38" s="105">
        <v>0</v>
      </c>
      <c r="AC38" s="99">
        <f>SUM(Q38:AB38)</f>
        <v>-700000</v>
      </c>
      <c r="AE38" s="105">
        <v>0</v>
      </c>
      <c r="AF38" s="105">
        <v>0</v>
      </c>
      <c r="AG38" s="105">
        <v>-100000</v>
      </c>
      <c r="AH38" s="105">
        <f>+AG38</f>
        <v>-100000</v>
      </c>
      <c r="AI38" s="105">
        <f t="shared" ref="AI38:AO38" si="64">+AH38</f>
        <v>-100000</v>
      </c>
      <c r="AJ38" s="105">
        <f t="shared" si="64"/>
        <v>-100000</v>
      </c>
      <c r="AK38" s="105">
        <f t="shared" si="64"/>
        <v>-100000</v>
      </c>
      <c r="AL38" s="105">
        <f t="shared" si="64"/>
        <v>-100000</v>
      </c>
      <c r="AM38" s="105">
        <f t="shared" si="64"/>
        <v>-100000</v>
      </c>
      <c r="AN38" s="105">
        <f t="shared" si="64"/>
        <v>-100000</v>
      </c>
      <c r="AO38" s="105">
        <f t="shared" si="64"/>
        <v>-100000</v>
      </c>
      <c r="AP38" s="105">
        <v>-600000</v>
      </c>
      <c r="AQ38" s="99">
        <f>SUM(AE38:AP38)</f>
        <v>-1500000</v>
      </c>
    </row>
    <row r="39" spans="1:43" x14ac:dyDescent="0.15">
      <c r="P39" s="41"/>
    </row>
    <row r="40" spans="1:43" x14ac:dyDescent="0.15">
      <c r="A40" s="96" t="s">
        <v>166</v>
      </c>
      <c r="B40" s="90"/>
      <c r="C40" s="98" t="s">
        <v>106</v>
      </c>
      <c r="D40" s="98" t="s">
        <v>106</v>
      </c>
      <c r="E40" s="101">
        <f>+E42/E41</f>
        <v>0.13725127520389438</v>
      </c>
      <c r="F40" s="101">
        <f t="shared" ref="F40:N40" si="65">+F42/F41</f>
        <v>0.15565851193240948</v>
      </c>
      <c r="G40" s="101">
        <f t="shared" si="65"/>
        <v>0.15478544026684396</v>
      </c>
      <c r="H40" s="101">
        <f t="shared" si="65"/>
        <v>0.16771950531441931</v>
      </c>
      <c r="I40" s="101">
        <f t="shared" si="65"/>
        <v>0.16423592935756251</v>
      </c>
      <c r="J40" s="101">
        <f t="shared" si="65"/>
        <v>0.16561413296056302</v>
      </c>
      <c r="K40" s="101">
        <f t="shared" si="65"/>
        <v>0.14251518064827667</v>
      </c>
      <c r="L40" s="101">
        <f t="shared" si="65"/>
        <v>0.13747233338880671</v>
      </c>
      <c r="M40" s="101">
        <f t="shared" si="65"/>
        <v>0.17326737284877422</v>
      </c>
      <c r="N40" s="101">
        <f t="shared" si="65"/>
        <v>0.19552152726361682</v>
      </c>
      <c r="O40" s="90"/>
      <c r="P40" s="41"/>
      <c r="Q40" s="101">
        <f t="shared" ref="Q40" si="66">+Q42/Q41</f>
        <v>0.22621118029235879</v>
      </c>
      <c r="R40" s="101">
        <f t="shared" ref="R40" si="67">+R42/R41</f>
        <v>0.1740643362491083</v>
      </c>
      <c r="S40" s="101">
        <f t="shared" ref="S40" si="68">+S42/S41</f>
        <v>0.17647172217554391</v>
      </c>
      <c r="T40" s="101">
        <f t="shared" ref="T40" si="69">+T42/T41</f>
        <v>0.18602518812552782</v>
      </c>
      <c r="U40" s="101">
        <f t="shared" ref="U40" si="70">+U42/U41</f>
        <v>0.19972774277533359</v>
      </c>
      <c r="V40" s="101">
        <f t="shared" ref="V40" si="71">+V42/V41</f>
        <v>0.2131298401584123</v>
      </c>
      <c r="W40" s="101">
        <v>0.18</v>
      </c>
      <c r="X40" s="101">
        <v>0.18</v>
      </c>
      <c r="Y40" s="101">
        <v>0.18</v>
      </c>
      <c r="Z40" s="101">
        <v>0.18</v>
      </c>
      <c r="AA40" s="101">
        <v>0.18</v>
      </c>
      <c r="AB40" s="101">
        <v>0.18</v>
      </c>
      <c r="AC40" s="90"/>
      <c r="AE40" s="101">
        <v>0.18</v>
      </c>
      <c r="AF40" s="101">
        <v>0.18</v>
      </c>
      <c r="AG40" s="101">
        <v>0.18</v>
      </c>
      <c r="AH40" s="101">
        <v>0.18</v>
      </c>
      <c r="AI40" s="101">
        <v>0.18</v>
      </c>
      <c r="AJ40" s="101">
        <v>0.18</v>
      </c>
      <c r="AK40" s="101">
        <v>0.18</v>
      </c>
      <c r="AL40" s="101">
        <v>0.18</v>
      </c>
      <c r="AM40" s="101">
        <v>0.18</v>
      </c>
      <c r="AN40" s="101">
        <v>0.18</v>
      </c>
      <c r="AO40" s="101">
        <v>0.18</v>
      </c>
      <c r="AP40" s="101">
        <v>0.18</v>
      </c>
      <c r="AQ40" s="90"/>
    </row>
    <row r="41" spans="1:43" x14ac:dyDescent="0.15">
      <c r="A41" s="54" t="s">
        <v>165</v>
      </c>
      <c r="C41" s="41" t="s">
        <v>106</v>
      </c>
      <c r="D41" s="41" t="s">
        <v>106</v>
      </c>
      <c r="E41" s="23">
        <f t="shared" ref="E41:N41" si="72">+E21*60</f>
        <v>4080837.6000000006</v>
      </c>
      <c r="F41" s="23">
        <f t="shared" si="72"/>
        <v>4317914.8320000004</v>
      </c>
      <c r="G41" s="23">
        <f t="shared" si="72"/>
        <v>3908043.1377600003</v>
      </c>
      <c r="H41" s="23">
        <f t="shared" si="72"/>
        <v>3714865.6134048002</v>
      </c>
      <c r="I41" s="23">
        <f t="shared" si="72"/>
        <v>4173026.986054081</v>
      </c>
      <c r="J41" s="23">
        <f t="shared" si="72"/>
        <v>4262448.9928980973</v>
      </c>
      <c r="K41" s="23">
        <f t="shared" si="72"/>
        <v>4557044.7144888164</v>
      </c>
      <c r="L41" s="23">
        <f t="shared" si="72"/>
        <v>4629724.934495925</v>
      </c>
      <c r="M41" s="23">
        <f t="shared" si="72"/>
        <v>4040604.9168523392</v>
      </c>
      <c r="N41" s="23">
        <f t="shared" si="72"/>
        <v>3688126.6155950073</v>
      </c>
      <c r="P41" s="41"/>
      <c r="Q41" s="23">
        <f t="shared" ref="Q41:AB41" si="73">+Q21*60</f>
        <v>3283398.2481391132</v>
      </c>
      <c r="R41" s="23">
        <f t="shared" si="73"/>
        <v>4693756.0559234815</v>
      </c>
      <c r="S41" s="23">
        <f t="shared" si="73"/>
        <v>4768616.6825308036</v>
      </c>
      <c r="T41" s="23">
        <f t="shared" si="73"/>
        <v>4161823.0643579094</v>
      </c>
      <c r="U41" s="23">
        <f t="shared" si="73"/>
        <v>3798770.4140628576</v>
      </c>
      <c r="V41" s="23">
        <f t="shared" si="73"/>
        <v>3381900.1955832867</v>
      </c>
      <c r="W41" s="23">
        <f t="shared" si="73"/>
        <v>3444947.4775948608</v>
      </c>
      <c r="X41" s="23">
        <f t="shared" si="73"/>
        <v>4334143.8926683776</v>
      </c>
      <c r="Y41" s="23">
        <f t="shared" si="73"/>
        <v>5224478.7736267354</v>
      </c>
      <c r="Z41" s="23">
        <f t="shared" si="73"/>
        <v>5587047.1735301204</v>
      </c>
      <c r="AA41" s="23">
        <f t="shared" si="73"/>
        <v>5373938.2194544887</v>
      </c>
      <c r="AB41" s="23">
        <f t="shared" si="73"/>
        <v>4836741.4187064376</v>
      </c>
      <c r="AE41" s="23">
        <f t="shared" ref="AE41:AF41" si="74">+AE21*60</f>
        <v>5476912.4236181248</v>
      </c>
      <c r="AF41" s="23">
        <f t="shared" si="74"/>
        <v>7279630.9903494325</v>
      </c>
      <c r="AG41" s="23">
        <f t="shared" ref="AG41:AP41" si="75">+AG21*60</f>
        <v>6613669.9648527615</v>
      </c>
      <c r="AH41" s="23">
        <f t="shared" si="75"/>
        <v>4571696.2241269881</v>
      </c>
      <c r="AI41" s="23">
        <f t="shared" si="75"/>
        <v>4136992.7632968398</v>
      </c>
      <c r="AJ41" s="23">
        <f t="shared" si="75"/>
        <v>4338477.9136820678</v>
      </c>
      <c r="AK41" s="23">
        <f t="shared" si="75"/>
        <v>4758905.0871579936</v>
      </c>
      <c r="AL41" s="23">
        <f t="shared" si="75"/>
        <v>5736423.1403961098</v>
      </c>
      <c r="AM41" s="23">
        <f t="shared" si="75"/>
        <v>6377740.0569946803</v>
      </c>
      <c r="AN41" s="23">
        <f t="shared" si="75"/>
        <v>6058678.2877635881</v>
      </c>
      <c r="AO41" s="23">
        <f t="shared" si="75"/>
        <v>5408076.1318446025</v>
      </c>
      <c r="AP41" s="23">
        <f t="shared" si="75"/>
        <v>4539332.6893645171</v>
      </c>
    </row>
    <row r="42" spans="1:43" x14ac:dyDescent="0.15">
      <c r="A42" s="54" t="s">
        <v>163</v>
      </c>
      <c r="C42" s="23">
        <f>+'BS Actual &amp; Forecast'!C33</f>
        <v>679321</v>
      </c>
      <c r="D42" s="23">
        <f>+'BS Actual &amp; Forecast'!D33</f>
        <v>577422.85</v>
      </c>
      <c r="E42" s="23">
        <f>+'BS Actual &amp; Forecast'!E33</f>
        <v>560100.16449999996</v>
      </c>
      <c r="F42" s="23">
        <f>+'BS Actual &amp; Forecast'!F33</f>
        <v>672120.19739999995</v>
      </c>
      <c r="G42" s="23">
        <f>+'BS Actual &amp; Forecast'!G33</f>
        <v>604908.17765999993</v>
      </c>
      <c r="H42" s="23">
        <f>+'BS Actual &amp; Forecast'!H33</f>
        <v>623055.42298979999</v>
      </c>
      <c r="I42" s="23">
        <f>+'BS Actual &amp; Forecast'!I33</f>
        <v>685360.96528878005</v>
      </c>
      <c r="J42" s="23">
        <f>+'BS Actual &amp; Forecast'!J33</f>
        <v>705921.79424744344</v>
      </c>
      <c r="K42" s="23">
        <f>+'BS Actual &amp; Forecast'!K33</f>
        <v>649448.05070764804</v>
      </c>
      <c r="L42" s="23">
        <f>+'BS Actual &amp; Forecast'!L33</f>
        <v>636459.08969349507</v>
      </c>
      <c r="M42" s="23">
        <f>+'BS Actual &amp; Forecast'!M33</f>
        <v>700104.99866284465</v>
      </c>
      <c r="N42" s="23">
        <f>+'BS Actual &amp; Forecast'!N33</f>
        <v>721108.14862273005</v>
      </c>
      <c r="P42" s="41"/>
      <c r="Q42" s="23">
        <f>+'BS Actual &amp; Forecast'!Q33</f>
        <v>742741.39308141195</v>
      </c>
      <c r="R42" s="23">
        <f>+'BS Actual &amp; Forecast'!R33</f>
        <v>817015.53238955326</v>
      </c>
      <c r="S42" s="23">
        <f>+'BS Actual &amp; Forecast'!S33</f>
        <v>841525.99836123991</v>
      </c>
      <c r="T42" s="23">
        <f>+'BS Actual &amp; Forecast'!T33</f>
        <v>774203.91849234072</v>
      </c>
      <c r="U42" s="23">
        <f>+'BS Actual &amp; Forecast'!U33</f>
        <v>758719.84012249392</v>
      </c>
      <c r="V42" s="23">
        <f>+'BS Actual &amp; Forecast'!V33</f>
        <v>720783.84811636922</v>
      </c>
      <c r="W42" s="23">
        <f>+W40*W41</f>
        <v>620090.54596707493</v>
      </c>
      <c r="X42" s="23">
        <f t="shared" ref="X42:AB42" si="76">+X40*X41</f>
        <v>780145.900680308</v>
      </c>
      <c r="Y42" s="23">
        <f t="shared" si="76"/>
        <v>940406.17925281229</v>
      </c>
      <c r="Z42" s="23">
        <f t="shared" si="76"/>
        <v>1005668.4912354216</v>
      </c>
      <c r="AA42" s="23">
        <f t="shared" si="76"/>
        <v>967308.87950180797</v>
      </c>
      <c r="AB42" s="23">
        <f t="shared" si="76"/>
        <v>870613.45536715875</v>
      </c>
      <c r="AE42" s="23">
        <f t="shared" ref="AE42:AF42" si="77">+AE40*AE41</f>
        <v>985844.23625126248</v>
      </c>
      <c r="AF42" s="23">
        <f t="shared" si="77"/>
        <v>1310333.5782628979</v>
      </c>
      <c r="AG42" s="23">
        <f t="shared" ref="AG42:AP42" si="78">+AG40*AG41</f>
        <v>1190460.593673497</v>
      </c>
      <c r="AH42" s="23">
        <f t="shared" si="78"/>
        <v>822905.32034285786</v>
      </c>
      <c r="AI42" s="23">
        <f t="shared" si="78"/>
        <v>744658.6973934311</v>
      </c>
      <c r="AJ42" s="23">
        <f t="shared" si="78"/>
        <v>780926.02446277218</v>
      </c>
      <c r="AK42" s="23">
        <f t="shared" si="78"/>
        <v>856602.91568843881</v>
      </c>
      <c r="AL42" s="23">
        <f t="shared" si="78"/>
        <v>1032556.1652712998</v>
      </c>
      <c r="AM42" s="23">
        <f t="shared" si="78"/>
        <v>1147993.2102590424</v>
      </c>
      <c r="AN42" s="23">
        <f t="shared" si="78"/>
        <v>1090562.0917974459</v>
      </c>
      <c r="AO42" s="23">
        <f t="shared" si="78"/>
        <v>973453.70373202837</v>
      </c>
      <c r="AP42" s="23">
        <f t="shared" si="78"/>
        <v>817079.88408561307</v>
      </c>
    </row>
    <row r="43" spans="1:43" x14ac:dyDescent="0.15">
      <c r="P43" s="41"/>
    </row>
    <row r="44" spans="1:43" x14ac:dyDescent="0.15">
      <c r="A44" s="96" t="s">
        <v>164</v>
      </c>
      <c r="B44" s="90"/>
      <c r="C44" s="101">
        <f>+C45/C42</f>
        <v>0.30785740467319572</v>
      </c>
      <c r="D44" s="101">
        <f t="shared" ref="D44:N44" si="79">+D45/D42</f>
        <v>0.23</v>
      </c>
      <c r="E44" s="101">
        <f t="shared" si="79"/>
        <v>0.28999999999999998</v>
      </c>
      <c r="F44" s="101">
        <f t="shared" si="79"/>
        <v>0.37</v>
      </c>
      <c r="G44" s="101">
        <f t="shared" si="79"/>
        <v>0.32</v>
      </c>
      <c r="H44" s="101">
        <f t="shared" si="79"/>
        <v>0.38</v>
      </c>
      <c r="I44" s="101">
        <f t="shared" si="79"/>
        <v>0.32</v>
      </c>
      <c r="J44" s="101">
        <f t="shared" si="79"/>
        <v>0.23000000000000004</v>
      </c>
      <c r="K44" s="101">
        <f t="shared" si="79"/>
        <v>0.22000000000000003</v>
      </c>
      <c r="L44" s="101">
        <f t="shared" si="79"/>
        <v>0.34</v>
      </c>
      <c r="M44" s="101">
        <f t="shared" si="79"/>
        <v>0.31</v>
      </c>
      <c r="N44" s="101">
        <f t="shared" si="79"/>
        <v>0.34</v>
      </c>
      <c r="O44" s="90"/>
      <c r="P44" s="41"/>
      <c r="Q44" s="101">
        <f t="shared" ref="Q44" si="80">+Q45/Q42</f>
        <v>0.28000000000000003</v>
      </c>
      <c r="R44" s="101">
        <f t="shared" ref="R44" si="81">+R45/R42</f>
        <v>0.39</v>
      </c>
      <c r="S44" s="101">
        <f t="shared" ref="S44" si="82">+S45/S42</f>
        <v>0.4</v>
      </c>
      <c r="T44" s="101">
        <f t="shared" ref="T44" si="83">+T45/T42</f>
        <v>0.33</v>
      </c>
      <c r="U44" s="101">
        <f t="shared" ref="U44" si="84">+U45/U42</f>
        <v>0.33</v>
      </c>
      <c r="V44" s="101">
        <f t="shared" ref="V44" si="85">+V45/V42</f>
        <v>0.31</v>
      </c>
      <c r="W44" s="101">
        <v>0.32</v>
      </c>
      <c r="X44" s="101">
        <v>0.32</v>
      </c>
      <c r="Y44" s="101">
        <v>0.32</v>
      </c>
      <c r="Z44" s="101">
        <v>0.32</v>
      </c>
      <c r="AA44" s="101">
        <v>0.32</v>
      </c>
      <c r="AB44" s="101">
        <v>0.32</v>
      </c>
      <c r="AC44" s="90"/>
      <c r="AE44" s="101">
        <v>0.32</v>
      </c>
      <c r="AF44" s="101">
        <v>0.32</v>
      </c>
      <c r="AG44" s="101">
        <v>0.32</v>
      </c>
      <c r="AH44" s="101">
        <v>0.32</v>
      </c>
      <c r="AI44" s="101">
        <v>0.32</v>
      </c>
      <c r="AJ44" s="101">
        <v>0.32</v>
      </c>
      <c r="AK44" s="101">
        <v>0.32</v>
      </c>
      <c r="AL44" s="101">
        <v>0.32</v>
      </c>
      <c r="AM44" s="101">
        <v>0.32</v>
      </c>
      <c r="AN44" s="101">
        <v>0.32</v>
      </c>
      <c r="AO44" s="101">
        <v>0.32</v>
      </c>
      <c r="AP44" s="101">
        <v>0.32</v>
      </c>
      <c r="AQ44" s="90"/>
    </row>
    <row r="45" spans="1:43" x14ac:dyDescent="0.15">
      <c r="A45" s="54" t="s">
        <v>169</v>
      </c>
      <c r="C45" s="23">
        <f>+'BS Actual &amp; Forecast'!C13</f>
        <v>209134</v>
      </c>
      <c r="D45" s="23">
        <f>+'BS Actual &amp; Forecast'!D13</f>
        <v>132807.2555</v>
      </c>
      <c r="E45" s="23">
        <f>+'BS Actual &amp; Forecast'!E13</f>
        <v>162429.04770499998</v>
      </c>
      <c r="F45" s="23">
        <f>+'BS Actual &amp; Forecast'!F13</f>
        <v>248684.47303799997</v>
      </c>
      <c r="G45" s="23">
        <f>+'BS Actual &amp; Forecast'!G13</f>
        <v>193570.61685119997</v>
      </c>
      <c r="H45" s="23">
        <f>+'BS Actual &amp; Forecast'!H13</f>
        <v>236761.060736124</v>
      </c>
      <c r="I45" s="23">
        <f>+'BS Actual &amp; Forecast'!I13</f>
        <v>219315.50889240962</v>
      </c>
      <c r="J45" s="23">
        <f>+'BS Actual &amp; Forecast'!J13</f>
        <v>162362.01267691201</v>
      </c>
      <c r="K45" s="23">
        <f>+'BS Actual &amp; Forecast'!K13</f>
        <v>142878.57115568258</v>
      </c>
      <c r="L45" s="23">
        <f>+'BS Actual &amp; Forecast'!L13</f>
        <v>216396.09049578835</v>
      </c>
      <c r="M45" s="23">
        <f>+'BS Actual &amp; Forecast'!M13</f>
        <v>217032.54958548184</v>
      </c>
      <c r="N45" s="23">
        <f>+'BS Actual &amp; Forecast'!N13</f>
        <v>245176.77053172822</v>
      </c>
      <c r="P45" s="41"/>
      <c r="Q45" s="23">
        <f>+'BS Actual &amp; Forecast'!Q13</f>
        <v>207967.59006279535</v>
      </c>
      <c r="R45" s="23">
        <f>+'BS Actual &amp; Forecast'!R13</f>
        <v>318636.0576319258</v>
      </c>
      <c r="S45" s="23">
        <f>+'BS Actual &amp; Forecast'!S13</f>
        <v>336610.39934449596</v>
      </c>
      <c r="T45" s="23">
        <f>+'BS Actual &amp; Forecast'!T13</f>
        <v>255487.29310247244</v>
      </c>
      <c r="U45" s="23">
        <f>+'BS Actual &amp; Forecast'!U13</f>
        <v>250377.54724042301</v>
      </c>
      <c r="V45" s="23">
        <f>+'BS Actual &amp; Forecast'!V13</f>
        <v>223442.99291607447</v>
      </c>
      <c r="W45" s="23">
        <f>+W42*W44</f>
        <v>198428.97470946398</v>
      </c>
      <c r="X45" s="23">
        <f t="shared" ref="X45:AB45" si="86">+X42*X44</f>
        <v>249646.68821769857</v>
      </c>
      <c r="Y45" s="23">
        <f t="shared" si="86"/>
        <v>300929.97736089997</v>
      </c>
      <c r="Z45" s="23">
        <f t="shared" si="86"/>
        <v>321813.91719533491</v>
      </c>
      <c r="AA45" s="23">
        <f t="shared" si="86"/>
        <v>309538.84144057857</v>
      </c>
      <c r="AB45" s="23">
        <f t="shared" si="86"/>
        <v>278596.30571749079</v>
      </c>
      <c r="AE45" s="23">
        <f t="shared" ref="AE45:AF45" si="87">+AE42*AE44</f>
        <v>315470.15560040402</v>
      </c>
      <c r="AF45" s="23">
        <f t="shared" si="87"/>
        <v>419306.74504412734</v>
      </c>
      <c r="AG45" s="23">
        <f t="shared" ref="AG45:AP45" si="88">+AG42*AG44</f>
        <v>380947.38997551904</v>
      </c>
      <c r="AH45" s="23">
        <f t="shared" si="88"/>
        <v>263329.70250971452</v>
      </c>
      <c r="AI45" s="23">
        <f t="shared" si="88"/>
        <v>238290.78316589794</v>
      </c>
      <c r="AJ45" s="23">
        <f t="shared" si="88"/>
        <v>249896.32782808712</v>
      </c>
      <c r="AK45" s="23">
        <f t="shared" si="88"/>
        <v>274112.93302030041</v>
      </c>
      <c r="AL45" s="23">
        <f t="shared" si="88"/>
        <v>330417.97288681596</v>
      </c>
      <c r="AM45" s="23">
        <f t="shared" si="88"/>
        <v>367357.82728289359</v>
      </c>
      <c r="AN45" s="23">
        <f t="shared" si="88"/>
        <v>348979.86937518272</v>
      </c>
      <c r="AO45" s="23">
        <f t="shared" si="88"/>
        <v>311505.18519424909</v>
      </c>
      <c r="AP45" s="23">
        <f t="shared" si="88"/>
        <v>261465.56290739618</v>
      </c>
    </row>
    <row r="46" spans="1:43" x14ac:dyDescent="0.15">
      <c r="P46" s="41"/>
    </row>
    <row r="47" spans="1:43" x14ac:dyDescent="0.15">
      <c r="A47" s="29" t="s">
        <v>105</v>
      </c>
      <c r="C47" s="31">
        <f>+'BS Actuals'!C10</f>
        <v>1143470.5249999999</v>
      </c>
      <c r="D47" s="31">
        <f>+'BS Actuals'!D10</f>
        <v>1340164.5615462058</v>
      </c>
      <c r="E47" s="31">
        <f>+'BS Actuals'!E10</f>
        <v>1381504.0121351893</v>
      </c>
      <c r="F47" s="31">
        <f>+'BS Actuals'!F10</f>
        <v>1024988.879509558</v>
      </c>
      <c r="G47" s="31">
        <f>+'BS Actuals'!G10</f>
        <v>1234820.0419533211</v>
      </c>
      <c r="H47" s="31">
        <f>+'BS Actuals'!H10</f>
        <v>1445426.0000354236</v>
      </c>
      <c r="I47" s="31">
        <f>+'BS Actuals'!I10</f>
        <v>1515778.7802452419</v>
      </c>
      <c r="J47" s="31">
        <f>+'BS Actuals'!J10</f>
        <v>2053094.8316713092</v>
      </c>
      <c r="K47" s="31">
        <f>+'BS Actuals'!K10</f>
        <v>1763674.1533960719</v>
      </c>
      <c r="L47" s="31">
        <f>+'BS Actuals'!L10</f>
        <v>1470733.9138978163</v>
      </c>
      <c r="M47" s="31">
        <f>+'BS Actuals'!M10</f>
        <v>1439566.2431089126</v>
      </c>
      <c r="N47" s="31">
        <f>+'BS Actuals'!N10</f>
        <v>826312.63223657687</v>
      </c>
      <c r="P47" s="41"/>
      <c r="Q47" s="31">
        <f>+'BS Actuals'!Q10</f>
        <v>975031.52508366399</v>
      </c>
      <c r="R47" s="31">
        <f>+'BS Actuals'!R10</f>
        <v>1323411.724154375</v>
      </c>
      <c r="S47" s="31">
        <f>+'BS Actuals'!S10</f>
        <v>1523479.6571072412</v>
      </c>
      <c r="T47" s="31">
        <f>+'BS Actuals'!T10</f>
        <v>1335275.4985574265</v>
      </c>
      <c r="U47" s="31">
        <f>+'BS Actuals'!U10</f>
        <v>1176083.0876323741</v>
      </c>
      <c r="V47" s="31">
        <f>+'BS Actuals'!V10</f>
        <v>1051408.8432631069</v>
      </c>
      <c r="W47" s="31">
        <f>+'BS Actual &amp; Forecast'!W10</f>
        <v>1254187.6961169946</v>
      </c>
      <c r="X47" s="31">
        <f>+'BS Actual &amp; Forecast'!X10</f>
        <v>1165844.3756070908</v>
      </c>
      <c r="Y47" s="31">
        <f>+'BS Actual &amp; Forecast'!Y10</f>
        <v>1133264.3356445113</v>
      </c>
      <c r="Z47" s="31">
        <f>+'BS Actual &amp; Forecast'!Z10</f>
        <v>560804.4638041337</v>
      </c>
      <c r="AA47" s="31">
        <f>+'BS Actual &amp; Forecast'!AA10</f>
        <v>813696.84187758435</v>
      </c>
      <c r="AB47" s="31">
        <f>+'BS Actual &amp; Forecast'!AB10</f>
        <v>731684.65382054681</v>
      </c>
      <c r="AE47" s="31">
        <f>+'BS Actual &amp; Forecast'!AE10</f>
        <v>376231.20845885004</v>
      </c>
      <c r="AF47" s="31">
        <f>+'BS Actual &amp; Forecast'!AF10</f>
        <v>756785.42740221124</v>
      </c>
      <c r="AG47" s="31">
        <f>+'BS Actual &amp; Forecast'!AG10</f>
        <v>1626351.0324124354</v>
      </c>
      <c r="AH47" s="31">
        <f>+'BS Actual &amp; Forecast'!AH10</f>
        <v>2327430.6976593062</v>
      </c>
      <c r="AI47" s="31">
        <f>+'BS Actual &amp; Forecast'!AI10</f>
        <v>2536303.172520258</v>
      </c>
      <c r="AJ47" s="31">
        <f>+'BS Actual &amp; Forecast'!AJ10</f>
        <v>2478824.0238812566</v>
      </c>
      <c r="AK47" s="31">
        <f>+'BS Actual &amp; Forecast'!AK10</f>
        <v>2248155.3767422223</v>
      </c>
      <c r="AL47" s="31">
        <f>+'BS Actual &amp; Forecast'!AL10</f>
        <v>1956227.8048164956</v>
      </c>
      <c r="AM47" s="31">
        <f>+'BS Actual &amp; Forecast'!AM10</f>
        <v>1710970.1990402774</v>
      </c>
      <c r="AN47" s="31">
        <f>+'BS Actual &amp; Forecast'!AN10</f>
        <v>1738996.2862710957</v>
      </c>
      <c r="AO47" s="31">
        <f>+'BS Actual &amp; Forecast'!AO10</f>
        <v>1812723.9630548502</v>
      </c>
      <c r="AP47" s="31">
        <f>+'BS Actual &amp; Forecast'!AP10</f>
        <v>1367252.4353387253</v>
      </c>
    </row>
    <row r="48" spans="1:43" x14ac:dyDescent="0.15">
      <c r="P48" s="41"/>
    </row>
    <row r="49" spans="16:16" x14ac:dyDescent="0.15">
      <c r="P49" s="41"/>
    </row>
    <row r="50" spans="16:16" x14ac:dyDescent="0.15">
      <c r="P50" s="41"/>
    </row>
    <row r="51" spans="16:16" x14ac:dyDescent="0.15">
      <c r="P51" s="41"/>
    </row>
  </sheetData>
  <pageMargins left="0.75" right="0.75" top="1" bottom="1" header="0.5" footer="0.5"/>
  <pageSetup scale="57" orientation="landscape"/>
  <headerFooter alignWithMargins="0"/>
  <colBreaks count="2" manualBreakCount="2">
    <brk id="15" max="1048575" man="1"/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AQ50"/>
  <sheetViews>
    <sheetView topLeftCell="I1" workbookViewId="0">
      <selection activeCell="J61" sqref="J61"/>
    </sheetView>
  </sheetViews>
  <sheetFormatPr baseColWidth="10" defaultColWidth="8.83203125" defaultRowHeight="13" outlineLevelCol="1" x14ac:dyDescent="0.15"/>
  <cols>
    <col min="1" max="1" width="26" customWidth="1"/>
    <col min="2" max="2" width="8.5" customWidth="1"/>
    <col min="3" max="3" width="11.6640625" customWidth="1" outlineLevel="1"/>
    <col min="4" max="4" width="11.33203125" customWidth="1" outlineLevel="1"/>
    <col min="5" max="5" width="11.33203125" bestFit="1" customWidth="1" outlineLevel="1"/>
    <col min="6" max="6" width="11.6640625" customWidth="1" outlineLevel="1"/>
    <col min="7" max="7" width="11.33203125" bestFit="1" customWidth="1" outlineLevel="1"/>
    <col min="8" max="8" width="12.1640625" customWidth="1" outlineLevel="1"/>
    <col min="9" max="9" width="11.1640625" customWidth="1" outlineLevel="1"/>
    <col min="10" max="14" width="11.33203125" customWidth="1" outlineLevel="1"/>
    <col min="15" max="15" width="13.6640625" customWidth="1"/>
    <col min="16" max="16" width="2.83203125" customWidth="1"/>
    <col min="17" max="17" width="12.33203125" customWidth="1" outlineLevel="1"/>
    <col min="18" max="18" width="11.33203125" customWidth="1" outlineLevel="1"/>
    <col min="19" max="19" width="11.33203125" bestFit="1" customWidth="1" outlineLevel="1"/>
    <col min="20" max="20" width="11.6640625" customWidth="1" outlineLevel="1"/>
    <col min="21" max="21" width="11.33203125" bestFit="1" customWidth="1" outlineLevel="1"/>
    <col min="22" max="22" width="11.33203125" customWidth="1" outlineLevel="1"/>
    <col min="23" max="28" width="9.1640625" customWidth="1" outlineLevel="1"/>
    <col min="29" max="29" width="12.5" customWidth="1"/>
    <col min="30" max="30" width="3" customWidth="1"/>
    <col min="31" max="42" width="9.1640625" customWidth="1" outlineLevel="1"/>
  </cols>
  <sheetData>
    <row r="1" spans="1:43" x14ac:dyDescent="0.15">
      <c r="A1" s="1" t="str">
        <f>+'IS Actual &amp; Forecast'!A1</f>
        <v>ABC Construction Company</v>
      </c>
    </row>
    <row r="2" spans="1:43" ht="20" x14ac:dyDescent="0.2">
      <c r="A2" s="2" t="s">
        <v>79</v>
      </c>
      <c r="H2" s="38" t="s">
        <v>82</v>
      </c>
      <c r="V2" s="38" t="s">
        <v>84</v>
      </c>
      <c r="AJ2" s="38" t="s">
        <v>90</v>
      </c>
    </row>
    <row r="3" spans="1:43" x14ac:dyDescent="0.15">
      <c r="A3" s="1"/>
    </row>
    <row r="4" spans="1:43" ht="14" x14ac:dyDescent="0.2">
      <c r="A4" s="1"/>
      <c r="C4" s="27" t="s">
        <v>51</v>
      </c>
      <c r="D4" s="27" t="s">
        <v>51</v>
      </c>
      <c r="E4" s="27" t="s">
        <v>51</v>
      </c>
      <c r="F4" s="27" t="s">
        <v>51</v>
      </c>
      <c r="G4" s="27" t="s">
        <v>51</v>
      </c>
      <c r="H4" s="27" t="s">
        <v>51</v>
      </c>
      <c r="I4" s="27" t="s">
        <v>51</v>
      </c>
    </row>
    <row r="5" spans="1:43" ht="14" x14ac:dyDescent="0.2">
      <c r="C5" s="27"/>
      <c r="D5" s="27"/>
      <c r="E5" s="27"/>
      <c r="F5" s="27"/>
      <c r="G5" s="27"/>
      <c r="H5" s="27"/>
      <c r="I5" s="27"/>
    </row>
    <row r="6" spans="1:43" x14ac:dyDescent="0.15">
      <c r="A6" s="3"/>
      <c r="C6" s="25" t="s">
        <v>54</v>
      </c>
      <c r="D6" s="25" t="s">
        <v>54</v>
      </c>
      <c r="E6" s="25" t="s">
        <v>54</v>
      </c>
      <c r="F6" s="25" t="s">
        <v>54</v>
      </c>
      <c r="G6" s="25" t="s">
        <v>54</v>
      </c>
      <c r="H6" s="25" t="s">
        <v>54</v>
      </c>
      <c r="I6" s="25" t="s">
        <v>54</v>
      </c>
      <c r="J6" s="25" t="s">
        <v>54</v>
      </c>
      <c r="K6" s="25" t="s">
        <v>54</v>
      </c>
      <c r="L6" s="25" t="s">
        <v>54</v>
      </c>
      <c r="M6" s="25" t="s">
        <v>54</v>
      </c>
      <c r="N6" s="25" t="s">
        <v>54</v>
      </c>
      <c r="O6" s="25" t="s">
        <v>54</v>
      </c>
      <c r="Q6" s="25" t="s">
        <v>54</v>
      </c>
      <c r="R6" s="25" t="s">
        <v>54</v>
      </c>
      <c r="S6" s="25" t="s">
        <v>54</v>
      </c>
      <c r="T6" s="25" t="s">
        <v>54</v>
      </c>
      <c r="U6" s="25" t="s">
        <v>54</v>
      </c>
      <c r="V6" s="25" t="s">
        <v>54</v>
      </c>
      <c r="W6" s="25"/>
      <c r="X6" s="25"/>
      <c r="Y6" s="25"/>
      <c r="Z6" s="25"/>
      <c r="AA6" s="25"/>
      <c r="AB6" s="25"/>
      <c r="AC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4" t="s">
        <v>84</v>
      </c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  <c r="AQ7" s="4" t="s">
        <v>90</v>
      </c>
    </row>
    <row r="8" spans="1:43" x14ac:dyDescent="0.1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x14ac:dyDescent="0.15">
      <c r="A9" s="9" t="s">
        <v>15</v>
      </c>
      <c r="B9" s="10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x14ac:dyDescent="0.15">
      <c r="A10" s="1" t="s">
        <v>16</v>
      </c>
      <c r="C10" s="37">
        <f>+'IS Actual &amp; Forecast'!C13</f>
        <v>1943256</v>
      </c>
      <c r="D10" s="37">
        <f>+'IS Actual &amp; Forecast'!D13</f>
        <v>2137581.6</v>
      </c>
      <c r="E10" s="37">
        <f>+'IS Actual &amp; Forecast'!E13</f>
        <v>2180333.2320000003</v>
      </c>
      <c r="F10" s="37">
        <f>+'IS Actual &amp; Forecast'!F13</f>
        <v>1727709.90576</v>
      </c>
      <c r="G10" s="37">
        <f>+'IS Actual &amp; Forecast'!G13</f>
        <v>1987155.7076448004</v>
      </c>
      <c r="H10" s="37">
        <f>+'IS Actual &amp; Forecast'!H13</f>
        <v>2185871.2784092808</v>
      </c>
      <c r="I10" s="37">
        <f>+'IS Actual &amp; Forecast'!I13</f>
        <v>2076577.7144888167</v>
      </c>
      <c r="J10" s="37">
        <f>+'IS Actual &amp; Forecast'!J13</f>
        <v>2480467</v>
      </c>
      <c r="K10" s="37">
        <f>+'IS Actual &amp; Forecast'!K13</f>
        <v>2149257.934495925</v>
      </c>
      <c r="L10" s="37">
        <f>+'IS Actual &amp; Forecast'!L13</f>
        <v>1891346.982356414</v>
      </c>
      <c r="M10" s="37">
        <f>+'IS Actual &amp; Forecast'!M13</f>
        <v>1796779.6332385931</v>
      </c>
      <c r="N10" s="37">
        <f>+'IS Actual &amp; Forecast'!N13</f>
        <v>1486618.6149005201</v>
      </c>
      <c r="O10" s="37">
        <f>SUM(C10:N10)</f>
        <v>24042955.60329435</v>
      </c>
      <c r="P10" s="48"/>
      <c r="Q10" s="37">
        <f>+'IS Actual &amp; Forecast'!Q13</f>
        <v>2138875.0459234812</v>
      </c>
      <c r="R10" s="37">
        <f>+'IS Actual &amp; Forecast'!R13</f>
        <v>2554881.0100000002</v>
      </c>
      <c r="S10" s="37">
        <f>+'IS Actual &amp; Forecast'!S13</f>
        <v>2213735.6725308029</v>
      </c>
      <c r="T10" s="37">
        <f>+'IS Actual &amp; Forecast'!T13</f>
        <v>1948087.3918271065</v>
      </c>
      <c r="U10" s="37">
        <f>+'IS Actual &amp; Forecast'!U13</f>
        <v>1850683.0222357509</v>
      </c>
      <c r="V10" s="37">
        <f>+'IS Actual &amp; Forecast'!V13</f>
        <v>1531217.1733475358</v>
      </c>
      <c r="W10" s="37"/>
      <c r="X10" s="37"/>
      <c r="Y10" s="37"/>
      <c r="Z10" s="37"/>
      <c r="AA10" s="37"/>
      <c r="AB10" s="37"/>
      <c r="AC10" s="37">
        <f>SUM(Q10:AB10)</f>
        <v>12237479.315864678</v>
      </c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>
        <f>SUM(AE10:AP10)</f>
        <v>0</v>
      </c>
    </row>
    <row r="11" spans="1:43" x14ac:dyDescent="0.15">
      <c r="A11" s="1" t="s">
        <v>17</v>
      </c>
      <c r="C11" s="6">
        <f>+'IS Actual &amp; Forecast'!C14</f>
        <v>0</v>
      </c>
      <c r="D11" s="6">
        <f>+'IS Actual &amp; Forecast'!D14</f>
        <v>0</v>
      </c>
      <c r="E11" s="6">
        <f>+'IS Actual &amp; Forecast'!E14</f>
        <v>0</v>
      </c>
      <c r="F11" s="6">
        <f>+'IS Actual &amp; Forecast'!F14</f>
        <v>0</v>
      </c>
      <c r="G11" s="6">
        <f>+'IS Actual &amp; Forecast'!G14</f>
        <v>0</v>
      </c>
      <c r="H11" s="6">
        <f>+'IS Actual &amp; Forecast'!H14</f>
        <v>0</v>
      </c>
      <c r="I11" s="6">
        <f>+'IS Actual &amp; Forecast'!I14</f>
        <v>0</v>
      </c>
      <c r="J11" s="6">
        <f>+'IS Actual &amp; Forecast'!J14</f>
        <v>0</v>
      </c>
      <c r="K11" s="6">
        <f>+'IS Actual &amp; Forecast'!K14</f>
        <v>0</v>
      </c>
      <c r="L11" s="6">
        <f>+'IS Actual &amp; Forecast'!L14</f>
        <v>0</v>
      </c>
      <c r="M11" s="6">
        <f>+'IS Actual &amp; Forecast'!M14</f>
        <v>0</v>
      </c>
      <c r="N11" s="6">
        <f>+'IS Actual &amp; Forecast'!N14</f>
        <v>0</v>
      </c>
      <c r="O11" s="6">
        <f>SUM(C11:N11)</f>
        <v>0</v>
      </c>
      <c r="Q11" s="6">
        <f>+'IS Actual &amp; Forecast'!Q14</f>
        <v>0</v>
      </c>
      <c r="R11" s="6">
        <f>+'IS Actual &amp; Forecast'!R14</f>
        <v>0</v>
      </c>
      <c r="S11" s="6">
        <f>+'IS Actual &amp; Forecast'!S14</f>
        <v>0</v>
      </c>
      <c r="T11" s="6">
        <f>+'IS Actual &amp; Forecast'!T14</f>
        <v>0</v>
      </c>
      <c r="U11" s="6">
        <f>+'IS Actual &amp; Forecast'!U14</f>
        <v>0</v>
      </c>
      <c r="V11" s="6">
        <f>+'IS Actual &amp; Forecast'!V14</f>
        <v>0</v>
      </c>
      <c r="W11" s="6"/>
      <c r="X11" s="6"/>
      <c r="Y11" s="6"/>
      <c r="Z11" s="6"/>
      <c r="AA11" s="6"/>
      <c r="AB11" s="6"/>
      <c r="AC11" s="6">
        <f>SUM(Q11:AB11)</f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f>SUM(AE11:AP11)</f>
        <v>0</v>
      </c>
    </row>
    <row r="12" spans="1:43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15">
      <c r="A13" s="1" t="s">
        <v>18</v>
      </c>
      <c r="C13" s="11">
        <f t="shared" ref="C13:O13" si="0">SUM(C10:C11)</f>
        <v>1943256</v>
      </c>
      <c r="D13" s="11">
        <f t="shared" ref="D13:N13" si="1">SUM(D10:D11)</f>
        <v>2137581.6</v>
      </c>
      <c r="E13" s="11">
        <f t="shared" si="1"/>
        <v>2180333.2320000003</v>
      </c>
      <c r="F13" s="11">
        <f t="shared" si="1"/>
        <v>1727709.90576</v>
      </c>
      <c r="G13" s="11">
        <f t="shared" si="1"/>
        <v>1987155.7076448004</v>
      </c>
      <c r="H13" s="11">
        <f t="shared" si="1"/>
        <v>2185871.2784092808</v>
      </c>
      <c r="I13" s="11">
        <f t="shared" si="1"/>
        <v>2076577.7144888167</v>
      </c>
      <c r="J13" s="11">
        <f t="shared" si="1"/>
        <v>2480467</v>
      </c>
      <c r="K13" s="11">
        <f t="shared" si="1"/>
        <v>2149257.934495925</v>
      </c>
      <c r="L13" s="11">
        <f t="shared" si="1"/>
        <v>1891346.982356414</v>
      </c>
      <c r="M13" s="11">
        <f t="shared" si="1"/>
        <v>1796779.6332385931</v>
      </c>
      <c r="N13" s="11">
        <f t="shared" si="1"/>
        <v>1486618.6149005201</v>
      </c>
      <c r="O13" s="11">
        <f t="shared" si="0"/>
        <v>24042955.60329435</v>
      </c>
      <c r="Q13" s="11">
        <f t="shared" ref="Q13:V13" si="2">SUM(Q10:Q11)</f>
        <v>2138875.0459234812</v>
      </c>
      <c r="R13" s="11">
        <f t="shared" si="2"/>
        <v>2554881.0100000002</v>
      </c>
      <c r="S13" s="11">
        <f t="shared" si="2"/>
        <v>2213735.6725308029</v>
      </c>
      <c r="T13" s="11">
        <f t="shared" si="2"/>
        <v>1948087.3918271065</v>
      </c>
      <c r="U13" s="11">
        <f t="shared" si="2"/>
        <v>1850683.0222357509</v>
      </c>
      <c r="V13" s="11">
        <f t="shared" si="2"/>
        <v>1531217.1733475358</v>
      </c>
      <c r="W13" s="11">
        <f t="shared" ref="W13:AC13" si="3">SUM(W10:W11)</f>
        <v>0</v>
      </c>
      <c r="X13" s="11">
        <f t="shared" si="3"/>
        <v>0</v>
      </c>
      <c r="Y13" s="11">
        <f t="shared" si="3"/>
        <v>0</v>
      </c>
      <c r="Z13" s="11">
        <f t="shared" si="3"/>
        <v>0</v>
      </c>
      <c r="AA13" s="11">
        <f t="shared" si="3"/>
        <v>0</v>
      </c>
      <c r="AB13" s="11">
        <f t="shared" si="3"/>
        <v>0</v>
      </c>
      <c r="AC13" s="11">
        <f t="shared" si="3"/>
        <v>12237479.315864678</v>
      </c>
      <c r="AE13" s="11">
        <f t="shared" ref="AE13:AQ13" si="4">SUM(AE10:AE11)</f>
        <v>0</v>
      </c>
      <c r="AF13" s="11">
        <f t="shared" si="4"/>
        <v>0</v>
      </c>
      <c r="AG13" s="11">
        <f t="shared" si="4"/>
        <v>0</v>
      </c>
      <c r="AH13" s="11">
        <f t="shared" si="4"/>
        <v>0</v>
      </c>
      <c r="AI13" s="11">
        <f t="shared" si="4"/>
        <v>0</v>
      </c>
      <c r="AJ13" s="11">
        <f t="shared" si="4"/>
        <v>0</v>
      </c>
      <c r="AK13" s="11">
        <f t="shared" si="4"/>
        <v>0</v>
      </c>
      <c r="AL13" s="11">
        <f t="shared" si="4"/>
        <v>0</v>
      </c>
      <c r="AM13" s="11">
        <f t="shared" si="4"/>
        <v>0</v>
      </c>
      <c r="AN13" s="11">
        <f t="shared" si="4"/>
        <v>0</v>
      </c>
      <c r="AO13" s="11">
        <f t="shared" si="4"/>
        <v>0</v>
      </c>
      <c r="AP13" s="11">
        <f t="shared" si="4"/>
        <v>0</v>
      </c>
      <c r="AQ13" s="11">
        <f t="shared" si="4"/>
        <v>0</v>
      </c>
    </row>
    <row r="14" spans="1:43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x14ac:dyDescent="0.15">
      <c r="A15" s="1" t="s">
        <v>19</v>
      </c>
      <c r="C15" s="6">
        <f>+'IS Actual &amp; Forecast'!C18</f>
        <v>1663427.1359999999</v>
      </c>
      <c r="D15" s="6">
        <f>+'IS Actual &amp; Forecast'!D18</f>
        <v>1791293.3807999999</v>
      </c>
      <c r="E15" s="6">
        <f>+'IS Actual &amp; Forecast'!E18</f>
        <v>1855463.5804320001</v>
      </c>
      <c r="F15" s="6">
        <f>+'IS Actual &amp; Forecast'!F18</f>
        <v>1489285.93876512</v>
      </c>
      <c r="G15" s="6">
        <f>+'IS Actual &amp; Forecast'!G18</f>
        <v>1683120.8843751459</v>
      </c>
      <c r="H15" s="6">
        <f>+'IS Actual &amp; Forecast'!H18</f>
        <v>1840503.6164206143</v>
      </c>
      <c r="I15" s="6">
        <f>+'IS Actual &amp; Forecast'!I18</f>
        <v>1731865.8138836729</v>
      </c>
      <c r="J15" s="6">
        <f>+'IS Actual &amp; Forecast'!J18</f>
        <v>2120799.2850000001</v>
      </c>
      <c r="K15" s="6">
        <f>+'IS Actual &amp; Forecast'!K18</f>
        <v>1818272.2125835526</v>
      </c>
      <c r="L15" s="6">
        <f>+'IS Actual &amp; Forecast'!L18</f>
        <v>1647363.2216324366</v>
      </c>
      <c r="M15" s="6">
        <f>+'IS Actual &amp; Forecast'!M18</f>
        <v>1520075.5697198496</v>
      </c>
      <c r="N15" s="6">
        <f>+'IS Actual &amp; Forecast'!N18</f>
        <v>1250246.2551313373</v>
      </c>
      <c r="O15" s="6">
        <f>SUM(C15:N15)</f>
        <v>20411716.894743733</v>
      </c>
      <c r="Q15" s="6">
        <f>+'IS Actual &amp; Forecast'!Q18</f>
        <v>1837293.6644482703</v>
      </c>
      <c r="R15" s="6">
        <f>+'IS Actual &amp; Forecast'!R18</f>
        <v>2143545.1673900001</v>
      </c>
      <c r="S15" s="6">
        <f>+'IS Actual &amp; Forecast'!S18</f>
        <v>1861751.7005984052</v>
      </c>
      <c r="T15" s="6">
        <f>+'IS Actual &amp; Forecast'!T18</f>
        <v>1698732.2056732369</v>
      </c>
      <c r="U15" s="6">
        <f>+'IS Actual &amp; Forecast'!U18</f>
        <v>1567528.5198336809</v>
      </c>
      <c r="V15" s="6">
        <f>+'IS Actual &amp; Forecast'!V18</f>
        <v>1303065.814518753</v>
      </c>
      <c r="W15" s="12"/>
      <c r="X15" s="12"/>
      <c r="Y15" s="12"/>
      <c r="Z15" s="12"/>
      <c r="AA15" s="12"/>
      <c r="AB15" s="12"/>
      <c r="AC15" s="6">
        <f>SUM(Q15:AB15)</f>
        <v>10411917.072462346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>
        <f>SUM(AE15:AP15)</f>
        <v>0</v>
      </c>
    </row>
    <row r="16" spans="1:43" x14ac:dyDescent="0.15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</row>
    <row r="17" spans="1:43" x14ac:dyDescent="0.15">
      <c r="A17" t="s">
        <v>20</v>
      </c>
      <c r="C17" s="13">
        <f t="shared" ref="C17:O17" si="5">+C13-C15</f>
        <v>279828.86400000006</v>
      </c>
      <c r="D17" s="13">
        <f t="shared" ref="D17:N17" si="6">+D13-D15</f>
        <v>346288.21920000017</v>
      </c>
      <c r="E17" s="13">
        <f t="shared" si="6"/>
        <v>324869.6515680002</v>
      </c>
      <c r="F17" s="13">
        <f t="shared" si="6"/>
        <v>238423.96699488</v>
      </c>
      <c r="G17" s="13">
        <f t="shared" si="6"/>
        <v>304034.82326965453</v>
      </c>
      <c r="H17" s="13">
        <f t="shared" si="6"/>
        <v>345367.66198866651</v>
      </c>
      <c r="I17" s="13">
        <f t="shared" si="6"/>
        <v>344711.90060514375</v>
      </c>
      <c r="J17" s="13">
        <f t="shared" si="6"/>
        <v>359667.71499999985</v>
      </c>
      <c r="K17" s="13">
        <f t="shared" si="6"/>
        <v>330985.72191237239</v>
      </c>
      <c r="L17" s="13">
        <f t="shared" si="6"/>
        <v>243983.76072397735</v>
      </c>
      <c r="M17" s="13">
        <f t="shared" si="6"/>
        <v>276704.0635187435</v>
      </c>
      <c r="N17" s="13">
        <f t="shared" si="6"/>
        <v>236372.35976918275</v>
      </c>
      <c r="O17" s="13">
        <f t="shared" si="5"/>
        <v>3631238.7085506171</v>
      </c>
      <c r="Q17" s="13">
        <f t="shared" ref="Q17:V17" si="7">+Q13-Q15</f>
        <v>301581.38147521089</v>
      </c>
      <c r="R17" s="13">
        <f t="shared" si="7"/>
        <v>411335.84261000017</v>
      </c>
      <c r="S17" s="13">
        <f t="shared" si="7"/>
        <v>351983.97193239769</v>
      </c>
      <c r="T17" s="13">
        <f t="shared" si="7"/>
        <v>249355.18615386961</v>
      </c>
      <c r="U17" s="13">
        <f t="shared" si="7"/>
        <v>283154.50240206998</v>
      </c>
      <c r="V17" s="13">
        <f t="shared" si="7"/>
        <v>228151.3588287828</v>
      </c>
      <c r="W17" s="13">
        <f t="shared" ref="W17:AC17" si="8">+W13-W15</f>
        <v>0</v>
      </c>
      <c r="X17" s="13">
        <f t="shared" si="8"/>
        <v>0</v>
      </c>
      <c r="Y17" s="13">
        <f t="shared" si="8"/>
        <v>0</v>
      </c>
      <c r="Z17" s="13">
        <f t="shared" si="8"/>
        <v>0</v>
      </c>
      <c r="AA17" s="13">
        <f t="shared" si="8"/>
        <v>0</v>
      </c>
      <c r="AB17" s="13">
        <f t="shared" si="8"/>
        <v>0</v>
      </c>
      <c r="AC17" s="13">
        <f t="shared" si="8"/>
        <v>1825562.2434023321</v>
      </c>
      <c r="AE17" s="13">
        <f>+AE13-AE15</f>
        <v>0</v>
      </c>
      <c r="AF17" s="13">
        <f t="shared" ref="AF17:AP17" si="9">+AF13-AF15</f>
        <v>0</v>
      </c>
      <c r="AG17" s="13">
        <f t="shared" si="9"/>
        <v>0</v>
      </c>
      <c r="AH17" s="13">
        <f t="shared" si="9"/>
        <v>0</v>
      </c>
      <c r="AI17" s="13">
        <f t="shared" si="9"/>
        <v>0</v>
      </c>
      <c r="AJ17" s="13">
        <f t="shared" si="9"/>
        <v>0</v>
      </c>
      <c r="AK17" s="13">
        <f t="shared" si="9"/>
        <v>0</v>
      </c>
      <c r="AL17" s="13">
        <f t="shared" si="9"/>
        <v>0</v>
      </c>
      <c r="AM17" s="13">
        <f t="shared" si="9"/>
        <v>0</v>
      </c>
      <c r="AN17" s="13">
        <f t="shared" si="9"/>
        <v>0</v>
      </c>
      <c r="AO17" s="13">
        <f t="shared" si="9"/>
        <v>0</v>
      </c>
      <c r="AP17" s="13">
        <f t="shared" si="9"/>
        <v>0</v>
      </c>
      <c r="AQ17" s="13">
        <f>+AQ13-AQ15</f>
        <v>0</v>
      </c>
    </row>
    <row r="18" spans="1:43" x14ac:dyDescent="0.1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</row>
    <row r="19" spans="1:43" x14ac:dyDescent="0.15">
      <c r="A19" s="9" t="s">
        <v>21</v>
      </c>
      <c r="B19" s="1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x14ac:dyDescent="0.15">
      <c r="A20" t="str">
        <f>+'IS Actual &amp; Forecast'!A23</f>
        <v>Employee wages and taxes</v>
      </c>
      <c r="C20" s="8">
        <f>+'IS Actual &amp; Forecast'!C23</f>
        <v>101467</v>
      </c>
      <c r="D20" s="8">
        <f>+'IS Actual &amp; Forecast'!D23</f>
        <v>104637.84375</v>
      </c>
      <c r="E20" s="8">
        <f>+'IS Actual &amp; Forecast'!E23</f>
        <v>121977.82928571428</v>
      </c>
      <c r="F20" s="8">
        <f>+'IS Actual &amp; Forecast'!F23</f>
        <v>110638</v>
      </c>
      <c r="G20" s="8">
        <f>+'IS Actual &amp; Forecast'!G23</f>
        <v>127252.22703732413</v>
      </c>
      <c r="H20" s="8">
        <f>+'IS Actual &amp; Forecast'!H23</f>
        <v>112612</v>
      </c>
      <c r="I20" s="8">
        <f>+'IS Actual &amp; Forecast'!I23</f>
        <v>110490</v>
      </c>
      <c r="J20" s="8">
        <f>+'IS Actual &amp; Forecast'!J23</f>
        <v>111441</v>
      </c>
      <c r="K20" s="8">
        <f>+'IS Actual &amp; Forecast'!K23</f>
        <v>116897</v>
      </c>
      <c r="L20" s="8">
        <f>+'IS Actual &amp; Forecast'!L23</f>
        <v>116870</v>
      </c>
      <c r="M20" s="8">
        <f>+'IS Actual &amp; Forecast'!M23</f>
        <v>103624.73333333334</v>
      </c>
      <c r="N20" s="8">
        <f>+'IS Actual &amp; Forecast'!N23</f>
        <v>110690</v>
      </c>
      <c r="O20" s="8">
        <f t="shared" ref="O20:O32" si="10">SUM(C20:N20)</f>
        <v>1348597.6334063718</v>
      </c>
      <c r="Q20" s="8">
        <f>+'IS Actual &amp; Forecast'!Q23</f>
        <v>107555.02</v>
      </c>
      <c r="R20" s="8">
        <f>+'IS Actual &amp; Forecast'!R23</f>
        <v>106730.60062500001</v>
      </c>
      <c r="S20" s="8">
        <f>+'IS Actual &amp; Forecast'!S23</f>
        <v>119538.27269999999</v>
      </c>
      <c r="T20" s="8">
        <f>+'IS Actual &amp; Forecast'!T23</f>
        <v>117276.28</v>
      </c>
      <c r="U20" s="8">
        <f>+'IS Actual &amp; Forecast'!U23</f>
        <v>134887.36065956359</v>
      </c>
      <c r="V20" s="8">
        <f>+'IS Actual &amp; Forecast'!V23</f>
        <v>119368.72</v>
      </c>
      <c r="W20" s="8"/>
      <c r="X20" s="8"/>
      <c r="Y20" s="8"/>
      <c r="Z20" s="8"/>
      <c r="AA20" s="8"/>
      <c r="AB20" s="8"/>
      <c r="AC20" s="8">
        <f t="shared" ref="AC20:AC32" si="11">SUM(Q20:AB20)</f>
        <v>705356.25398456352</v>
      </c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>
        <f t="shared" ref="AQ20:AQ32" si="12">SUM(AE20:AP20)</f>
        <v>0</v>
      </c>
    </row>
    <row r="21" spans="1:43" x14ac:dyDescent="0.15">
      <c r="A21" t="str">
        <f>+'IS Actual &amp; Forecast'!A24</f>
        <v>Rent</v>
      </c>
      <c r="C21" s="11">
        <f>+'IS Actual &amp; Forecast'!C24</f>
        <v>14750</v>
      </c>
      <c r="D21" s="11">
        <f>+'IS Actual &amp; Forecast'!D24</f>
        <v>14820</v>
      </c>
      <c r="E21" s="11">
        <f>+'IS Actual &amp; Forecast'!E24</f>
        <v>14760</v>
      </c>
      <c r="F21" s="11">
        <f>+'IS Actual &amp; Forecast'!F24</f>
        <v>15357</v>
      </c>
      <c r="G21" s="11">
        <f>+'IS Actual &amp; Forecast'!G24</f>
        <v>17663.121627399145</v>
      </c>
      <c r="H21" s="11">
        <f>+'IS Actual &amp; Forecast'!H24</f>
        <v>14800</v>
      </c>
      <c r="I21" s="11">
        <f>+'IS Actual &amp; Forecast'!I24</f>
        <v>14800</v>
      </c>
      <c r="J21" s="11">
        <f>+'IS Actual &amp; Forecast'!J24</f>
        <v>14800</v>
      </c>
      <c r="K21" s="11">
        <f>+'IS Actual &amp; Forecast'!K24</f>
        <v>14800</v>
      </c>
      <c r="L21" s="11">
        <f>+'IS Actual &amp; Forecast'!L24</f>
        <v>14800</v>
      </c>
      <c r="M21" s="11">
        <f>+'IS Actual &amp; Forecast'!M24</f>
        <v>14800</v>
      </c>
      <c r="N21" s="11">
        <f>+'IS Actual &amp; Forecast'!N24</f>
        <v>14800</v>
      </c>
      <c r="O21" s="8">
        <f t="shared" si="10"/>
        <v>180950.12162739914</v>
      </c>
      <c r="Q21" s="11">
        <f>+'IS Actual &amp; Forecast'!Q24</f>
        <v>15635</v>
      </c>
      <c r="R21" s="11">
        <f>+'IS Actual &amp; Forecast'!R24</f>
        <v>15116.4</v>
      </c>
      <c r="S21" s="11">
        <f>+'IS Actual &amp; Forecast'!S24</f>
        <v>14464.8</v>
      </c>
      <c r="T21" s="11">
        <f>+'IS Actual &amp; Forecast'!T24</f>
        <v>16278.42</v>
      </c>
      <c r="U21" s="11">
        <f>+'IS Actual &amp; Forecast'!U24</f>
        <v>18722.908925043095</v>
      </c>
      <c r="V21" s="11">
        <f>+'IS Actual &amp; Forecast'!V24</f>
        <v>15688</v>
      </c>
      <c r="W21" s="11"/>
      <c r="X21" s="11"/>
      <c r="Y21" s="11"/>
      <c r="Z21" s="11"/>
      <c r="AA21" s="11"/>
      <c r="AB21" s="11"/>
      <c r="AC21" s="8">
        <f t="shared" si="11"/>
        <v>95905.528925043094</v>
      </c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>
        <f t="shared" si="12"/>
        <v>0</v>
      </c>
    </row>
    <row r="22" spans="1:43" x14ac:dyDescent="0.15">
      <c r="A22" t="str">
        <f>+'IS Actual &amp; Forecast'!A25</f>
        <v>Advertising and marketing</v>
      </c>
      <c r="C22" s="11">
        <f>+'IS Actual &amp; Forecast'!C25</f>
        <v>5328</v>
      </c>
      <c r="D22" s="11">
        <f>+'IS Actual &amp; Forecast'!D25</f>
        <v>5494.5</v>
      </c>
      <c r="E22" s="11">
        <f>+'IS Actual &amp; Forecast'!E25</f>
        <v>6405.017142857143</v>
      </c>
      <c r="F22" s="11">
        <f>+'IS Actual &amp; Forecast'!F25</f>
        <v>4737.0178596588812</v>
      </c>
      <c r="G22" s="11">
        <f>+'IS Actual &amp; Forecast'!G25</f>
        <v>5448.3637823999998</v>
      </c>
      <c r="H22" s="11">
        <f>+'IS Actual &amp; Forecast'!H25</f>
        <v>5288.1177888000011</v>
      </c>
      <c r="I22" s="11">
        <f>+'IS Actual &amp; Forecast'!I25</f>
        <v>4494.9001204800006</v>
      </c>
      <c r="J22" s="11">
        <f>+'IS Actual &amp; Forecast'!J25</f>
        <v>5369.1471979854532</v>
      </c>
      <c r="K22" s="11">
        <f>+'IS Actual &amp; Forecast'!K25</f>
        <v>5892.8140579492801</v>
      </c>
      <c r="L22" s="11">
        <f>+'IS Actual &amp; Forecast'!L25</f>
        <v>5556.0818260664637</v>
      </c>
      <c r="M22" s="11">
        <f>+'IS Actual &amp; Forecast'!M25</f>
        <v>4926.3925524455981</v>
      </c>
      <c r="N22" s="11">
        <f>+'IS Actual &amp; Forecast'!N25</f>
        <v>4075.9961529463794</v>
      </c>
      <c r="O22" s="8">
        <f t="shared" si="10"/>
        <v>63016.348481589201</v>
      </c>
      <c r="Q22" s="11">
        <f>+'IS Actual &amp; Forecast'!Q25</f>
        <v>5647.68</v>
      </c>
      <c r="R22" s="11">
        <f>+'IS Actual &amp; Forecast'!R25</f>
        <v>5604.39</v>
      </c>
      <c r="S22" s="11">
        <f>+'IS Actual &amp; Forecast'!S25</f>
        <v>6276.9168</v>
      </c>
      <c r="T22" s="11">
        <f>+'IS Actual &amp; Forecast'!T25</f>
        <v>5021.2389312384139</v>
      </c>
      <c r="U22" s="11">
        <f>+'IS Actual &amp; Forecast'!U25</f>
        <v>5775.265609344</v>
      </c>
      <c r="V22" s="11">
        <f>+'IS Actual &amp; Forecast'!V25</f>
        <v>5605.4048561280015</v>
      </c>
      <c r="W22" s="11"/>
      <c r="X22" s="11"/>
      <c r="Y22" s="11"/>
      <c r="Z22" s="11"/>
      <c r="AA22" s="11"/>
      <c r="AB22" s="11"/>
      <c r="AC22" s="8">
        <f t="shared" si="11"/>
        <v>33930.896196710411</v>
      </c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>
        <f t="shared" si="12"/>
        <v>0</v>
      </c>
    </row>
    <row r="23" spans="1:43" x14ac:dyDescent="0.15">
      <c r="A23" t="str">
        <f>+'IS Actual &amp; Forecast'!A26</f>
        <v>Insurance</v>
      </c>
      <c r="C23" s="11">
        <f>+'IS Actual &amp; Forecast'!C26</f>
        <v>12480</v>
      </c>
      <c r="D23" s="11">
        <f>+'IS Actual &amp; Forecast'!D26</f>
        <v>12870</v>
      </c>
      <c r="E23" s="11">
        <f>+'IS Actual &amp; Forecast'!E26</f>
        <v>15002.742857142857</v>
      </c>
      <c r="F23" s="11">
        <f>+'IS Actual &amp; Forecast'!F26</f>
        <v>11095.717509110893</v>
      </c>
      <c r="G23" s="11">
        <f>+'IS Actual &amp; Forecast'!G26</f>
        <v>12761.933184</v>
      </c>
      <c r="H23" s="11">
        <f>+'IS Actual &amp; Forecast'!H26</f>
        <v>12386.582208000002</v>
      </c>
      <c r="I23" s="11">
        <f>+'IS Actual &amp; Forecast'!I26</f>
        <v>10528.594876800002</v>
      </c>
      <c r="J23" s="11">
        <f>+'IS Actual &amp; Forecast'!J26</f>
        <v>12576.380824110071</v>
      </c>
      <c r="K23" s="11">
        <f>+'IS Actual &amp; Forecast'!K26</f>
        <v>13802.9878834848</v>
      </c>
      <c r="L23" s="11">
        <f>+'IS Actual &amp; Forecast'!L26</f>
        <v>13014.245718714241</v>
      </c>
      <c r="M23" s="11">
        <f>+'IS Actual &amp; Forecast'!M26</f>
        <v>11539.297870593295</v>
      </c>
      <c r="N23" s="11">
        <f>+'IS Actual &amp; Forecast'!N26</f>
        <v>9547.3783762708008</v>
      </c>
      <c r="O23" s="8">
        <f t="shared" si="10"/>
        <v>147605.86130822697</v>
      </c>
      <c r="Q23" s="11">
        <f>+'IS Actual &amp; Forecast'!Q26</f>
        <v>13228.800000000001</v>
      </c>
      <c r="R23" s="11">
        <f>+'IS Actual &amp; Forecast'!R26</f>
        <v>13127.4</v>
      </c>
      <c r="S23" s="11">
        <f>+'IS Actual &amp; Forecast'!S26</f>
        <v>14702.688</v>
      </c>
      <c r="T23" s="11">
        <f>+'IS Actual &amp; Forecast'!T26</f>
        <v>11761.460559657547</v>
      </c>
      <c r="U23" s="11">
        <f>+'IS Actual &amp; Forecast'!U26</f>
        <v>13420</v>
      </c>
      <c r="V23" s="11">
        <f>+'IS Actual &amp; Forecast'!V26</f>
        <v>13129.777140480002</v>
      </c>
      <c r="W23" s="11"/>
      <c r="X23" s="11"/>
      <c r="Y23" s="11"/>
      <c r="Z23" s="11"/>
      <c r="AA23" s="11"/>
      <c r="AB23" s="11"/>
      <c r="AC23" s="8">
        <f t="shared" si="11"/>
        <v>79370.125700137549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>
        <f t="shared" si="12"/>
        <v>0</v>
      </c>
    </row>
    <row r="24" spans="1:43" x14ac:dyDescent="0.15">
      <c r="C24" s="11">
        <f>+'IS Actual &amp; Forecast'!C27</f>
        <v>0</v>
      </c>
      <c r="D24" s="11">
        <f>+'IS Actual &amp; Forecast'!D27</f>
        <v>0</v>
      </c>
      <c r="E24" s="11">
        <f>+'IS Actual &amp; Forecast'!E27</f>
        <v>0</v>
      </c>
      <c r="F24" s="11">
        <f>+'IS Actual &amp; Forecast'!F27</f>
        <v>0</v>
      </c>
      <c r="G24" s="11">
        <f>+'IS Actual &amp; Forecast'!G27</f>
        <v>0</v>
      </c>
      <c r="H24" s="11">
        <f>+'IS Actual &amp; Forecast'!H27</f>
        <v>0</v>
      </c>
      <c r="I24" s="11">
        <f>+'IS Actual &amp; Forecast'!I27</f>
        <v>0</v>
      </c>
      <c r="J24" s="11">
        <f>+'IS Actual &amp; Forecast'!J27</f>
        <v>0</v>
      </c>
      <c r="K24" s="11">
        <f>+'IS Actual &amp; Forecast'!K27</f>
        <v>0</v>
      </c>
      <c r="L24" s="11">
        <f>+'IS Actual &amp; Forecast'!L27</f>
        <v>0</v>
      </c>
      <c r="M24" s="11">
        <f>+'IS Actual &amp; Forecast'!M27</f>
        <v>0</v>
      </c>
      <c r="N24" s="11">
        <f>+'IS Actual &amp; Forecast'!N27</f>
        <v>0</v>
      </c>
      <c r="O24" s="8">
        <f t="shared" si="10"/>
        <v>0</v>
      </c>
      <c r="Q24" s="11">
        <f>+'IS Actual &amp; Forecast'!Q27</f>
        <v>0</v>
      </c>
      <c r="R24" s="11">
        <f>+'IS Actual &amp; Forecast'!R27</f>
        <v>0</v>
      </c>
      <c r="S24" s="11">
        <f>+'IS Actual &amp; Forecast'!S27</f>
        <v>0</v>
      </c>
      <c r="T24" s="11">
        <f>+'IS Actual &amp; Forecast'!T27</f>
        <v>0</v>
      </c>
      <c r="U24" s="11">
        <f>+'IS Actual &amp; Forecast'!U27</f>
        <v>0</v>
      </c>
      <c r="V24" s="11">
        <f>+'IS Actual &amp; Forecast'!V27</f>
        <v>0</v>
      </c>
      <c r="W24" s="11"/>
      <c r="X24" s="11"/>
      <c r="Y24" s="11"/>
      <c r="Z24" s="11"/>
      <c r="AA24" s="11"/>
      <c r="AB24" s="11"/>
      <c r="AC24" s="8">
        <f t="shared" si="11"/>
        <v>0</v>
      </c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>
        <f t="shared" si="12"/>
        <v>0</v>
      </c>
    </row>
    <row r="25" spans="1:43" x14ac:dyDescent="0.15">
      <c r="A25" t="str">
        <f>+'IS Actual &amp; Forecast'!A28</f>
        <v>Telephone and utilities</v>
      </c>
      <c r="C25" s="11">
        <f>+'IS Actual &amp; Forecast'!C28</f>
        <v>3544</v>
      </c>
      <c r="D25" s="11">
        <f>+'IS Actual &amp; Forecast'!D28</f>
        <v>3654.75</v>
      </c>
      <c r="E25" s="11">
        <f>+'IS Actual &amp; Forecast'!E28</f>
        <v>4260.3942857142856</v>
      </c>
      <c r="F25" s="11">
        <f>+'IS Actual &amp; Forecast'!F28</f>
        <v>3150.8992670103371</v>
      </c>
      <c r="G25" s="11">
        <f>+'IS Actual &amp; Forecast'!G28</f>
        <v>3624.0617952000002</v>
      </c>
      <c r="H25" s="11">
        <f>+'IS Actual &amp; Forecast'!H28</f>
        <v>3517.4717424000009</v>
      </c>
      <c r="I25" s="11">
        <f>+'IS Actual &amp; Forecast'!I28</f>
        <v>2989.8509810400005</v>
      </c>
      <c r="J25" s="11">
        <f>+'IS Actual &amp; Forecast'!J28</f>
        <v>3571.3696827440776</v>
      </c>
      <c r="K25" s="11">
        <f>+'IS Actual &amp; Forecast'!K28</f>
        <v>3919.6946361434398</v>
      </c>
      <c r="L25" s="11">
        <f>+'IS Actual &amp; Forecast'!L28</f>
        <v>3695.7120855066719</v>
      </c>
      <c r="M25" s="11">
        <f>+'IS Actual &amp; Forecast'!M28</f>
        <v>3276.864715815916</v>
      </c>
      <c r="N25" s="11">
        <f>+'IS Actual &amp; Forecast'!N28</f>
        <v>2711.2106542871566</v>
      </c>
      <c r="O25" s="8">
        <f t="shared" si="10"/>
        <v>41916.279845861878</v>
      </c>
      <c r="Q25" s="11">
        <f>+'IS Actual &amp; Forecast'!Q28</f>
        <v>3756.6400000000003</v>
      </c>
      <c r="R25" s="11">
        <f>+'IS Actual &amp; Forecast'!R28</f>
        <v>3727.8450000000003</v>
      </c>
      <c r="S25" s="11">
        <f>+'IS Actual &amp; Forecast'!S28</f>
        <v>4175.1863999999996</v>
      </c>
      <c r="T25" s="11">
        <f>+'IS Actual &amp; Forecast'!T28</f>
        <v>3339.9532230309574</v>
      </c>
      <c r="U25" s="11">
        <f>+'IS Actual &amp; Forecast'!U28</f>
        <v>3370</v>
      </c>
      <c r="V25" s="11">
        <f>+'IS Actual &amp; Forecast'!V28</f>
        <v>3728.520046944001</v>
      </c>
      <c r="W25" s="11"/>
      <c r="X25" s="11"/>
      <c r="Y25" s="11"/>
      <c r="Z25" s="11"/>
      <c r="AA25" s="11"/>
      <c r="AB25" s="11"/>
      <c r="AC25" s="8">
        <f t="shared" si="11"/>
        <v>22098.144669974958</v>
      </c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>
        <f t="shared" si="12"/>
        <v>0</v>
      </c>
    </row>
    <row r="26" spans="1:43" x14ac:dyDescent="0.15">
      <c r="A26" t="str">
        <f>+'IS Actual &amp; Forecast'!A29</f>
        <v>Travel, meals and entertainment</v>
      </c>
      <c r="C26" s="11">
        <f>+'IS Actual &amp; Forecast'!C29</f>
        <v>2853</v>
      </c>
      <c r="D26" s="11">
        <f>+'IS Actual &amp; Forecast'!D29</f>
        <v>2942.15625</v>
      </c>
      <c r="E26" s="11">
        <f>+'IS Actual &amp; Forecast'!E29</f>
        <v>3429.7135714285714</v>
      </c>
      <c r="F26" s="11">
        <f>+'IS Actual &amp; Forecast'!F29</f>
        <v>2536.5450363376103</v>
      </c>
      <c r="G26" s="11">
        <f>+'IS Actual &amp; Forecast'!G29</f>
        <v>2917.4515523999999</v>
      </c>
      <c r="H26" s="11">
        <f>+'IS Actual &amp; Forecast'!H29</f>
        <v>2831.6441538000004</v>
      </c>
      <c r="I26" s="11">
        <f>+'IS Actual &amp; Forecast'!I29</f>
        <v>2406.8975307300002</v>
      </c>
      <c r="J26" s="11">
        <f>+'IS Actual &amp; Forecast'!J29</f>
        <v>2875.0332124347779</v>
      </c>
      <c r="K26" s="11">
        <f>+'IS Actual &amp; Forecast'!K29</f>
        <v>3155.4426627870298</v>
      </c>
      <c r="L26" s="11">
        <f>+'IS Actual &amp; Forecast'!L29</f>
        <v>2975.1316534849138</v>
      </c>
      <c r="M26" s="11">
        <f>+'IS Actual &amp; Forecast'!M29</f>
        <v>2637.9500660899571</v>
      </c>
      <c r="N26" s="11">
        <f>+'IS Actual &amp; Forecast'!N29</f>
        <v>2182.5857778445984</v>
      </c>
      <c r="O26" s="8">
        <f t="shared" si="10"/>
        <v>33743.551467337464</v>
      </c>
      <c r="Q26" s="11">
        <f>+'IS Actual &amp; Forecast'!Q29</f>
        <v>3024.1800000000003</v>
      </c>
      <c r="R26" s="11">
        <f>+'IS Actual &amp; Forecast'!R29</f>
        <v>3000.9993749999999</v>
      </c>
      <c r="S26" s="11">
        <f>+'IS Actual &amp; Forecast'!S29</f>
        <v>3361.1192999999998</v>
      </c>
      <c r="T26" s="11">
        <f>+'IS Actual &amp; Forecast'!T29</f>
        <v>2688.737738517867</v>
      </c>
      <c r="U26" s="11">
        <f>+'IS Actual &amp; Forecast'!U29</f>
        <v>3092.4986455439998</v>
      </c>
      <c r="V26" s="11">
        <f>+'IS Actual &amp; Forecast'!V29</f>
        <v>3001.5428030280004</v>
      </c>
      <c r="W26" s="11"/>
      <c r="X26" s="11"/>
      <c r="Y26" s="11"/>
      <c r="Z26" s="11"/>
      <c r="AA26" s="11"/>
      <c r="AB26" s="11"/>
      <c r="AC26" s="8">
        <f t="shared" si="11"/>
        <v>18169.077862089867</v>
      </c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>
        <f t="shared" si="12"/>
        <v>0</v>
      </c>
    </row>
    <row r="27" spans="1:43" x14ac:dyDescent="0.15">
      <c r="C27" s="11">
        <f>+'IS Actual &amp; Forecast'!C30</f>
        <v>0</v>
      </c>
      <c r="D27" s="11">
        <f>+'IS Actual &amp; Forecast'!D30</f>
        <v>0</v>
      </c>
      <c r="E27" s="11">
        <f>+'IS Actual &amp; Forecast'!E30</f>
        <v>0</v>
      </c>
      <c r="F27" s="11">
        <f>+'IS Actual &amp; Forecast'!F30</f>
        <v>0</v>
      </c>
      <c r="G27" s="11">
        <f>+'IS Actual &amp; Forecast'!G30</f>
        <v>0</v>
      </c>
      <c r="H27" s="11">
        <f>+'IS Actual &amp; Forecast'!H30</f>
        <v>0</v>
      </c>
      <c r="I27" s="11">
        <f>+'IS Actual &amp; Forecast'!I30</f>
        <v>0</v>
      </c>
      <c r="J27" s="11">
        <f>+'IS Actual &amp; Forecast'!J30</f>
        <v>0</v>
      </c>
      <c r="K27" s="11">
        <f>+'IS Actual &amp; Forecast'!K30</f>
        <v>0</v>
      </c>
      <c r="L27" s="11">
        <f>+'IS Actual &amp; Forecast'!L30</f>
        <v>0</v>
      </c>
      <c r="M27" s="11">
        <f>+'IS Actual &amp; Forecast'!M30</f>
        <v>0</v>
      </c>
      <c r="N27" s="11">
        <f>+'IS Actual &amp; Forecast'!N30</f>
        <v>0</v>
      </c>
      <c r="O27" s="8">
        <f t="shared" si="10"/>
        <v>0</v>
      </c>
      <c r="Q27" s="11">
        <f>+'IS Actual &amp; Forecast'!Q30</f>
        <v>0</v>
      </c>
      <c r="R27" s="11">
        <f>+'IS Actual &amp; Forecast'!R30</f>
        <v>0</v>
      </c>
      <c r="S27" s="11">
        <f>+'IS Actual &amp; Forecast'!S30</f>
        <v>0</v>
      </c>
      <c r="T27" s="11">
        <f>+'IS Actual &amp; Forecast'!T30</f>
        <v>0</v>
      </c>
      <c r="U27" s="11">
        <f>+'IS Actual &amp; Forecast'!U30</f>
        <v>0</v>
      </c>
      <c r="V27" s="11">
        <f>+'IS Actual &amp; Forecast'!V30</f>
        <v>0</v>
      </c>
      <c r="W27" s="11"/>
      <c r="X27" s="11"/>
      <c r="Y27" s="11"/>
      <c r="Z27" s="11"/>
      <c r="AA27" s="11"/>
      <c r="AB27" s="11"/>
      <c r="AC27" s="8">
        <f t="shared" si="11"/>
        <v>0</v>
      </c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>
        <f t="shared" si="12"/>
        <v>0</v>
      </c>
    </row>
    <row r="28" spans="1:43" x14ac:dyDescent="0.15">
      <c r="A28" t="str">
        <f>+'IS Actual &amp; Forecast'!A31</f>
        <v>Professional fees</v>
      </c>
      <c r="C28" s="11">
        <f>+'IS Actual &amp; Forecast'!C31</f>
        <v>4500</v>
      </c>
      <c r="D28" s="11">
        <f>+'IS Actual &amp; Forecast'!D31</f>
        <v>4640.625</v>
      </c>
      <c r="E28" s="11">
        <f>+'IS Actual &amp; Forecast'!E31</f>
        <v>5409.6428571428569</v>
      </c>
      <c r="F28" s="11">
        <f>+'IS Actual &amp; Forecast'!F31</f>
        <v>4000.8596787659471</v>
      </c>
      <c r="G28" s="11">
        <f>+'IS Actual &amp; Forecast'!G31</f>
        <v>4601.6585999999998</v>
      </c>
      <c r="H28" s="11">
        <f>+'IS Actual &amp; Forecast'!H31</f>
        <v>4466.315700000001</v>
      </c>
      <c r="I28" s="11">
        <f>+'IS Actual &amp; Forecast'!I31</f>
        <v>3796.3683450000008</v>
      </c>
      <c r="J28" s="11">
        <f>+'IS Actual &amp; Forecast'!J31</f>
        <v>4534.7527010012273</v>
      </c>
      <c r="K28" s="11">
        <f>+'IS Actual &amp; Forecast'!K31</f>
        <v>4977.0389002949996</v>
      </c>
      <c r="L28" s="11">
        <f>+'IS Actual &amp; Forecast'!L31</f>
        <v>4692.6366774209991</v>
      </c>
      <c r="M28" s="11">
        <f>+'IS Actual &amp; Forecast'!M31</f>
        <v>4160.8045206466195</v>
      </c>
      <c r="N28" s="11">
        <f>+'IS Actual &amp; Forecast'!N31</f>
        <v>3442.564318366874</v>
      </c>
      <c r="O28" s="8">
        <f t="shared" si="10"/>
        <v>53223.267298639526</v>
      </c>
      <c r="Q28" s="11">
        <f>+'IS Actual &amp; Forecast'!Q31</f>
        <v>4770</v>
      </c>
      <c r="R28" s="11">
        <f>+'IS Actual &amp; Forecast'!R31</f>
        <v>4733.4375</v>
      </c>
      <c r="S28" s="11">
        <f>+'IS Actual &amp; Forecast'!S31</f>
        <v>5301.45</v>
      </c>
      <c r="T28" s="11">
        <f>+'IS Actual &amp; Forecast'!T31</f>
        <v>4240.9112594919043</v>
      </c>
      <c r="U28" s="11">
        <f>+'IS Actual &amp; Forecast'!U31</f>
        <v>4689</v>
      </c>
      <c r="V28" s="11">
        <f>+'IS Actual &amp; Forecast'!V31</f>
        <v>4734.2946420000017</v>
      </c>
      <c r="W28" s="11"/>
      <c r="X28" s="11"/>
      <c r="Y28" s="11"/>
      <c r="Z28" s="11"/>
      <c r="AA28" s="11"/>
      <c r="AB28" s="11"/>
      <c r="AC28" s="8">
        <f t="shared" si="11"/>
        <v>28469.093401491904</v>
      </c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>
        <f t="shared" si="12"/>
        <v>0</v>
      </c>
    </row>
    <row r="29" spans="1:43" x14ac:dyDescent="0.15">
      <c r="A29" t="str">
        <f>+'IS Actual &amp; Forecast'!A32</f>
        <v>Office expenses</v>
      </c>
      <c r="C29" s="11">
        <f>+'IS Actual &amp; Forecast'!C32</f>
        <v>2980</v>
      </c>
      <c r="D29" s="11">
        <f>+'IS Actual &amp; Forecast'!D32</f>
        <v>3073.125</v>
      </c>
      <c r="E29" s="11">
        <f>+'IS Actual &amp; Forecast'!E32</f>
        <v>3582.3857142857141</v>
      </c>
      <c r="F29" s="11">
        <f>+'IS Actual &amp; Forecast'!F32</f>
        <v>2649.4581872716717</v>
      </c>
      <c r="G29" s="11">
        <f>+'IS Actual &amp; Forecast'!G32</f>
        <v>3047.3205840000001</v>
      </c>
      <c r="H29" s="11">
        <f>+'IS Actual &amp; Forecast'!H32</f>
        <v>2957.6935080000007</v>
      </c>
      <c r="I29" s="11">
        <f>+'IS Actual &amp; Forecast'!I32</f>
        <v>2514.0394818000004</v>
      </c>
      <c r="J29" s="11">
        <f>+'IS Actual &amp; Forecast'!J32</f>
        <v>3003.014010885257</v>
      </c>
      <c r="K29" s="11">
        <f>+'IS Actual &amp; Forecast'!K32</f>
        <v>3295.9057606397996</v>
      </c>
      <c r="L29" s="11">
        <f>+'IS Actual &amp; Forecast'!L32</f>
        <v>3107.5682886032396</v>
      </c>
      <c r="M29" s="11">
        <f>+'IS Actual &amp; Forecast'!M32</f>
        <v>2755.3772158948727</v>
      </c>
      <c r="N29" s="11">
        <f>+'IS Actual &amp; Forecast'!N32</f>
        <v>2279.7425930518411</v>
      </c>
      <c r="O29" s="8">
        <f t="shared" si="10"/>
        <v>35245.6303444324</v>
      </c>
      <c r="Q29" s="11">
        <f>+'IS Actual &amp; Forecast'!Q32</f>
        <v>3158.8</v>
      </c>
      <c r="R29" s="11">
        <f>+'IS Actual &amp; Forecast'!R32</f>
        <v>3134.5875000000001</v>
      </c>
      <c r="S29" s="11">
        <f>+'IS Actual &amp; Forecast'!S32</f>
        <v>3510.7379999999998</v>
      </c>
      <c r="T29" s="11">
        <f>+'IS Actual &amp; Forecast'!T32</f>
        <v>2808.425678507972</v>
      </c>
      <c r="U29" s="11">
        <f>+'IS Actual &amp; Forecast'!U32</f>
        <v>3230.15981904</v>
      </c>
      <c r="V29" s="11">
        <f>+'IS Actual &amp; Forecast'!V32</f>
        <v>3135.155118480001</v>
      </c>
      <c r="W29" s="11"/>
      <c r="X29" s="11"/>
      <c r="Y29" s="11"/>
      <c r="Z29" s="11"/>
      <c r="AA29" s="11"/>
      <c r="AB29" s="11"/>
      <c r="AC29" s="8">
        <f t="shared" si="11"/>
        <v>18977.866116027973</v>
      </c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>
        <f t="shared" si="12"/>
        <v>0</v>
      </c>
    </row>
    <row r="30" spans="1:43" x14ac:dyDescent="0.15">
      <c r="A30" t="str">
        <f>+'IS Actual &amp; Forecast'!A33</f>
        <v>Depreciation &amp; amortization</v>
      </c>
      <c r="C30" s="11">
        <f>+'IS Actual &amp; Forecast'!C33</f>
        <v>5475</v>
      </c>
      <c r="D30" s="11">
        <f>+'IS Actual &amp; Forecast'!D33</f>
        <v>5475</v>
      </c>
      <c r="E30" s="11">
        <f>+'IS Actual &amp; Forecast'!E33</f>
        <v>5475</v>
      </c>
      <c r="F30" s="11">
        <f>+'IS Actual &amp; Forecast'!F33</f>
        <v>5475</v>
      </c>
      <c r="G30" s="11">
        <f>+'IS Actual &amp; Forecast'!G33</f>
        <v>5475</v>
      </c>
      <c r="H30" s="11">
        <f>+'IS Actual &amp; Forecast'!H33</f>
        <v>5475</v>
      </c>
      <c r="I30" s="11">
        <f>+'IS Actual &amp; Forecast'!I33</f>
        <v>5475</v>
      </c>
      <c r="J30" s="11">
        <f>+'IS Actual &amp; Forecast'!J33</f>
        <v>5475</v>
      </c>
      <c r="K30" s="11">
        <f>+'IS Actual &amp; Forecast'!K33</f>
        <v>5475</v>
      </c>
      <c r="L30" s="11">
        <f>+'IS Actual &amp; Forecast'!L33</f>
        <v>5475</v>
      </c>
      <c r="M30" s="11">
        <f>+'IS Actual &amp; Forecast'!M33</f>
        <v>5475</v>
      </c>
      <c r="N30" s="11">
        <f>+'IS Actual &amp; Forecast'!N33</f>
        <v>10350</v>
      </c>
      <c r="O30" s="8">
        <f t="shared" si="10"/>
        <v>70575</v>
      </c>
      <c r="Q30" s="11">
        <f>+'IS Actual &amp; Forecast'!Q33</f>
        <v>5850</v>
      </c>
      <c r="R30" s="11">
        <f>+'IS Actual &amp; Forecast'!R33</f>
        <v>5850</v>
      </c>
      <c r="S30" s="11">
        <f>+'IS Actual &amp; Forecast'!S33</f>
        <v>5850</v>
      </c>
      <c r="T30" s="11">
        <f>+'IS Actual &amp; Forecast'!T33</f>
        <v>5850</v>
      </c>
      <c r="U30" s="11">
        <f>+'IS Actual &amp; Forecast'!U33</f>
        <v>5850</v>
      </c>
      <c r="V30" s="11">
        <f>+'IS Actual &amp; Forecast'!V33</f>
        <v>5850</v>
      </c>
      <c r="W30" s="11"/>
      <c r="X30" s="11"/>
      <c r="Y30" s="11"/>
      <c r="Z30" s="11"/>
      <c r="AA30" s="11"/>
      <c r="AB30" s="11"/>
      <c r="AC30" s="8">
        <f t="shared" si="11"/>
        <v>35100</v>
      </c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>
        <f t="shared" si="12"/>
        <v>0</v>
      </c>
    </row>
    <row r="31" spans="1:43" x14ac:dyDescent="0.15">
      <c r="C31" s="11">
        <f>+'IS Actual &amp; Forecast'!C34</f>
        <v>0</v>
      </c>
      <c r="D31" s="11">
        <f>+'IS Actual &amp; Forecast'!D34</f>
        <v>0</v>
      </c>
      <c r="E31" s="11">
        <f>+'IS Actual &amp; Forecast'!E34</f>
        <v>0</v>
      </c>
      <c r="F31" s="11">
        <f>+'IS Actual &amp; Forecast'!F34</f>
        <v>0</v>
      </c>
      <c r="G31" s="11">
        <f>+'IS Actual &amp; Forecast'!G34</f>
        <v>0</v>
      </c>
      <c r="H31" s="11">
        <f>+'IS Actual &amp; Forecast'!H34</f>
        <v>0</v>
      </c>
      <c r="I31" s="11">
        <f>+'IS Actual &amp; Forecast'!I34</f>
        <v>0</v>
      </c>
      <c r="J31" s="11">
        <f>+'IS Actual &amp; Forecast'!J34</f>
        <v>0</v>
      </c>
      <c r="K31" s="11">
        <f>+'IS Actual &amp; Forecast'!K34</f>
        <v>0</v>
      </c>
      <c r="L31" s="11">
        <f>+'IS Actual &amp; Forecast'!L34</f>
        <v>0</v>
      </c>
      <c r="M31" s="11">
        <f>+'IS Actual &amp; Forecast'!M34</f>
        <v>0</v>
      </c>
      <c r="N31" s="11">
        <f>+'IS Actual &amp; Forecast'!N34</f>
        <v>0</v>
      </c>
      <c r="O31" s="8">
        <f t="shared" si="10"/>
        <v>0</v>
      </c>
      <c r="Q31" s="11">
        <f>+'IS Actual &amp; Forecast'!Q34</f>
        <v>0</v>
      </c>
      <c r="R31" s="11">
        <f>+'IS Actual &amp; Forecast'!R34</f>
        <v>0</v>
      </c>
      <c r="S31" s="11">
        <f>+'IS Actual &amp; Forecast'!S34</f>
        <v>0</v>
      </c>
      <c r="T31" s="11">
        <f>+'IS Actual &amp; Forecast'!T34</f>
        <v>0</v>
      </c>
      <c r="U31" s="11">
        <f>+'IS Actual &amp; Forecast'!U34</f>
        <v>0</v>
      </c>
      <c r="V31" s="11">
        <f>+'IS Actual &amp; Forecast'!V34</f>
        <v>0</v>
      </c>
      <c r="W31" s="11"/>
      <c r="X31" s="11"/>
      <c r="Y31" s="11"/>
      <c r="Z31" s="11"/>
      <c r="AA31" s="11"/>
      <c r="AB31" s="11"/>
      <c r="AC31" s="8">
        <f t="shared" si="11"/>
        <v>0</v>
      </c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>
        <f t="shared" si="12"/>
        <v>0</v>
      </c>
    </row>
    <row r="32" spans="1:43" x14ac:dyDescent="0.15">
      <c r="A32" t="str">
        <f>+'IS Actual &amp; Forecast'!A35</f>
        <v>All other</v>
      </c>
      <c r="C32" s="6">
        <f>+'IS Actual &amp; Forecast'!C35</f>
        <v>5496</v>
      </c>
      <c r="D32" s="6">
        <f>+'IS Actual &amp; Forecast'!D35</f>
        <v>5667.75</v>
      </c>
      <c r="E32" s="6">
        <f>+'IS Actual &amp; Forecast'!E35</f>
        <v>6606.977142857143</v>
      </c>
      <c r="F32" s="6">
        <f>+'IS Actual &amp; Forecast'!F35</f>
        <v>4886.3832876661436</v>
      </c>
      <c r="G32" s="6">
        <f>+'IS Actual &amp; Forecast'!G35</f>
        <v>5620.1590367999997</v>
      </c>
      <c r="H32" s="6">
        <f>+'IS Actual &amp; Forecast'!H35</f>
        <v>5454.8602416000012</v>
      </c>
      <c r="I32" s="6">
        <f>+'IS Actual &amp; Forecast'!I35</f>
        <v>4636.6312053600013</v>
      </c>
      <c r="J32" s="6">
        <f>+'IS Actual &amp; Forecast'!J35</f>
        <v>5538.4446321561663</v>
      </c>
      <c r="K32" s="6">
        <f>+'IS Actual &amp; Forecast'!K35</f>
        <v>6078.6235102269611</v>
      </c>
      <c r="L32" s="6">
        <f>+'IS Actual &amp; Forecast'!L35</f>
        <v>5731.273595356849</v>
      </c>
      <c r="M32" s="6">
        <f>+'IS Actual &amp; Forecast'!M35</f>
        <v>5081.7292545497394</v>
      </c>
      <c r="N32" s="6">
        <f>+'IS Actual &amp; Forecast'!N35</f>
        <v>4204.51855416541</v>
      </c>
      <c r="O32" s="6">
        <f t="shared" si="10"/>
        <v>65003.350460738424</v>
      </c>
      <c r="Q32" s="6">
        <f>+'IS Actual &amp; Forecast'!Q35</f>
        <v>5825.76</v>
      </c>
      <c r="R32" s="6">
        <f>+'IS Actual &amp; Forecast'!R35</f>
        <v>5781.1050000000005</v>
      </c>
      <c r="S32" s="6">
        <f>+'IS Actual &amp; Forecast'!S35</f>
        <v>6474.8375999999998</v>
      </c>
      <c r="T32" s="6">
        <f>+'IS Actual &amp; Forecast'!T35</f>
        <v>5179.5662849261125</v>
      </c>
      <c r="U32" s="6">
        <f>+'IS Actual &amp; Forecast'!U35</f>
        <v>5957.3685790079999</v>
      </c>
      <c r="V32" s="6">
        <f>+'IS Actual &amp; Forecast'!V35</f>
        <v>5782.1518560960012</v>
      </c>
      <c r="W32" s="6"/>
      <c r="X32" s="6"/>
      <c r="Y32" s="6"/>
      <c r="Z32" s="6"/>
      <c r="AA32" s="6"/>
      <c r="AB32" s="6"/>
      <c r="AC32" s="6">
        <f t="shared" si="11"/>
        <v>35000.789320030119</v>
      </c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>
        <f t="shared" si="12"/>
        <v>0</v>
      </c>
    </row>
    <row r="33" spans="1:43" x14ac:dyDescent="0.15">
      <c r="A33" s="1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15">
      <c r="A34" s="1" t="s">
        <v>18</v>
      </c>
      <c r="C34" s="6">
        <f t="shared" ref="C34:O34" si="13">SUM(C20:C32)</f>
        <v>158873</v>
      </c>
      <c r="D34" s="6">
        <f t="shared" ref="D34:N34" si="14">SUM(D20:D32)</f>
        <v>163275.75</v>
      </c>
      <c r="E34" s="6">
        <f t="shared" si="14"/>
        <v>186909.70285714287</v>
      </c>
      <c r="F34" s="6">
        <f t="shared" si="14"/>
        <v>164526.88082582143</v>
      </c>
      <c r="G34" s="6">
        <f t="shared" si="14"/>
        <v>188411.29719952325</v>
      </c>
      <c r="H34" s="6">
        <f t="shared" si="14"/>
        <v>169789.68534260002</v>
      </c>
      <c r="I34" s="6">
        <f t="shared" si="14"/>
        <v>162132.28254121001</v>
      </c>
      <c r="J34" s="6">
        <f t="shared" si="14"/>
        <v>169184.14226131706</v>
      </c>
      <c r="K34" s="6">
        <f t="shared" si="14"/>
        <v>178294.50741152637</v>
      </c>
      <c r="L34" s="6">
        <f t="shared" si="14"/>
        <v>175917.64984515336</v>
      </c>
      <c r="M34" s="6">
        <f t="shared" si="14"/>
        <v>158278.14952936934</v>
      </c>
      <c r="N34" s="6">
        <f t="shared" si="14"/>
        <v>164283.99642693304</v>
      </c>
      <c r="O34" s="6">
        <f t="shared" si="13"/>
        <v>2039877.0442405969</v>
      </c>
      <c r="Q34" s="6">
        <f t="shared" ref="Q34:V34" si="15">SUM(Q20:Q32)</f>
        <v>168451.88</v>
      </c>
      <c r="R34" s="6">
        <f t="shared" si="15"/>
        <v>166806.76500000001</v>
      </c>
      <c r="S34" s="6">
        <f t="shared" si="15"/>
        <v>183656.00880000001</v>
      </c>
      <c r="T34" s="6">
        <f t="shared" si="15"/>
        <v>174444.99367537079</v>
      </c>
      <c r="U34" s="6">
        <f t="shared" si="15"/>
        <v>198994.5622375427</v>
      </c>
      <c r="V34" s="6">
        <f t="shared" si="15"/>
        <v>180023.56646315599</v>
      </c>
      <c r="W34" s="6">
        <f t="shared" ref="W34:AC34" si="16">SUM(W20:W32)</f>
        <v>0</v>
      </c>
      <c r="X34" s="6">
        <f t="shared" si="16"/>
        <v>0</v>
      </c>
      <c r="Y34" s="6">
        <f t="shared" si="16"/>
        <v>0</v>
      </c>
      <c r="Z34" s="6">
        <f t="shared" si="16"/>
        <v>0</v>
      </c>
      <c r="AA34" s="6">
        <f t="shared" si="16"/>
        <v>0</v>
      </c>
      <c r="AB34" s="6">
        <f t="shared" si="16"/>
        <v>0</v>
      </c>
      <c r="AC34" s="6">
        <f t="shared" si="16"/>
        <v>1072377.7761760692</v>
      </c>
      <c r="AE34" s="6">
        <f t="shared" ref="AE34:AQ34" si="17">SUM(AE20:AE32)</f>
        <v>0</v>
      </c>
      <c r="AF34" s="6">
        <f t="shared" si="17"/>
        <v>0</v>
      </c>
      <c r="AG34" s="6">
        <f t="shared" si="17"/>
        <v>0</v>
      </c>
      <c r="AH34" s="6">
        <f t="shared" si="17"/>
        <v>0</v>
      </c>
      <c r="AI34" s="6">
        <f t="shared" si="17"/>
        <v>0</v>
      </c>
      <c r="AJ34" s="6">
        <f t="shared" si="17"/>
        <v>0</v>
      </c>
      <c r="AK34" s="6">
        <f t="shared" si="17"/>
        <v>0</v>
      </c>
      <c r="AL34" s="6">
        <f t="shared" si="17"/>
        <v>0</v>
      </c>
      <c r="AM34" s="6">
        <f t="shared" si="17"/>
        <v>0</v>
      </c>
      <c r="AN34" s="6">
        <f t="shared" si="17"/>
        <v>0</v>
      </c>
      <c r="AO34" s="6">
        <f t="shared" si="17"/>
        <v>0</v>
      </c>
      <c r="AP34" s="6">
        <f t="shared" si="17"/>
        <v>0</v>
      </c>
      <c r="AQ34" s="6">
        <f t="shared" si="17"/>
        <v>0</v>
      </c>
    </row>
    <row r="35" spans="1:43" x14ac:dyDescent="0.15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x14ac:dyDescent="0.15">
      <c r="A36" s="1" t="s">
        <v>91</v>
      </c>
      <c r="C36" s="6">
        <f>C17-C34</f>
        <v>120955.86400000006</v>
      </c>
      <c r="D36" s="6">
        <f t="shared" ref="D36:N36" si="18">D17-D34</f>
        <v>183012.46920000017</v>
      </c>
      <c r="E36" s="6">
        <f t="shared" si="18"/>
        <v>137959.94871085734</v>
      </c>
      <c r="F36" s="6">
        <f t="shared" si="18"/>
        <v>73897.086169058573</v>
      </c>
      <c r="G36" s="6">
        <f t="shared" si="18"/>
        <v>115623.52607013128</v>
      </c>
      <c r="H36" s="6">
        <f t="shared" si="18"/>
        <v>175577.9766460665</v>
      </c>
      <c r="I36" s="6">
        <f t="shared" si="18"/>
        <v>182579.61806393374</v>
      </c>
      <c r="J36" s="6">
        <f t="shared" si="18"/>
        <v>190483.57273868279</v>
      </c>
      <c r="K36" s="6">
        <f t="shared" si="18"/>
        <v>152691.21450084602</v>
      </c>
      <c r="L36" s="6">
        <f t="shared" si="18"/>
        <v>68066.110878823994</v>
      </c>
      <c r="M36" s="6">
        <f t="shared" si="18"/>
        <v>118425.91398937415</v>
      </c>
      <c r="N36" s="6">
        <f t="shared" si="18"/>
        <v>72088.363342249708</v>
      </c>
      <c r="O36" s="6">
        <f t="shared" ref="O36" si="19">O17-O34</f>
        <v>1591361.6643100202</v>
      </c>
      <c r="Q36" s="6">
        <f t="shared" ref="Q36:V36" si="20">Q17-Q34</f>
        <v>133129.50147521088</v>
      </c>
      <c r="R36" s="6">
        <f t="shared" si="20"/>
        <v>244529.07761000015</v>
      </c>
      <c r="S36" s="6">
        <f t="shared" si="20"/>
        <v>168327.96313239768</v>
      </c>
      <c r="T36" s="6">
        <f t="shared" si="20"/>
        <v>74910.192478498822</v>
      </c>
      <c r="U36" s="6">
        <f t="shared" si="20"/>
        <v>84159.940164527274</v>
      </c>
      <c r="V36" s="6">
        <f t="shared" si="20"/>
        <v>48127.79236562681</v>
      </c>
      <c r="W36" s="6">
        <f t="shared" ref="W36:AC36" si="21">W17-W34</f>
        <v>0</v>
      </c>
      <c r="X36" s="6">
        <f t="shared" si="21"/>
        <v>0</v>
      </c>
      <c r="Y36" s="6">
        <f t="shared" si="21"/>
        <v>0</v>
      </c>
      <c r="Z36" s="6">
        <f t="shared" si="21"/>
        <v>0</v>
      </c>
      <c r="AA36" s="6">
        <f t="shared" si="21"/>
        <v>0</v>
      </c>
      <c r="AB36" s="6">
        <f t="shared" si="21"/>
        <v>0</v>
      </c>
      <c r="AC36" s="6">
        <f t="shared" si="21"/>
        <v>753184.4672262629</v>
      </c>
      <c r="AE36" s="6">
        <f>AE17-AE34</f>
        <v>0</v>
      </c>
      <c r="AF36" s="6">
        <f t="shared" ref="AF36:AQ36" si="22">AF17-AF34</f>
        <v>0</v>
      </c>
      <c r="AG36" s="6">
        <f t="shared" si="22"/>
        <v>0</v>
      </c>
      <c r="AH36" s="6">
        <f t="shared" si="22"/>
        <v>0</v>
      </c>
      <c r="AI36" s="6">
        <f t="shared" si="22"/>
        <v>0</v>
      </c>
      <c r="AJ36" s="6">
        <f t="shared" si="22"/>
        <v>0</v>
      </c>
      <c r="AK36" s="6">
        <f t="shared" si="22"/>
        <v>0</v>
      </c>
      <c r="AL36" s="6">
        <f t="shared" si="22"/>
        <v>0</v>
      </c>
      <c r="AM36" s="6">
        <f t="shared" si="22"/>
        <v>0</v>
      </c>
      <c r="AN36" s="6">
        <f t="shared" si="22"/>
        <v>0</v>
      </c>
      <c r="AO36" s="6">
        <f t="shared" si="22"/>
        <v>0</v>
      </c>
      <c r="AP36" s="6">
        <f t="shared" si="22"/>
        <v>0</v>
      </c>
      <c r="AQ36" s="6">
        <f t="shared" si="22"/>
        <v>0</v>
      </c>
    </row>
    <row r="37" spans="1:43" x14ac:dyDescent="0.15">
      <c r="A37" s="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:43" x14ac:dyDescent="0.15">
      <c r="A38" s="1" t="s">
        <v>94</v>
      </c>
      <c r="C38" s="11">
        <f>+'IS Actual &amp; Forecast'!C41</f>
        <v>8237.4750000000004</v>
      </c>
      <c r="D38" s="11">
        <f>+'IS Actual &amp; Forecast'!D41</f>
        <v>8162.4750000000004</v>
      </c>
      <c r="E38" s="11">
        <f>+'IS Actual &amp; Forecast'!E41</f>
        <v>8087.4750000000004</v>
      </c>
      <c r="F38" s="11">
        <f>+'IS Actual &amp; Forecast'!F41</f>
        <v>8012.4750000000004</v>
      </c>
      <c r="G38" s="11">
        <f>+'IS Actual &amp; Forecast'!G41</f>
        <v>7937.4750000000004</v>
      </c>
      <c r="H38" s="11">
        <f>+'IS Actual &amp; Forecast'!H41</f>
        <v>7862.4750000000004</v>
      </c>
      <c r="I38" s="11">
        <f>+'IS Actual &amp; Forecast'!I41</f>
        <v>7787.4750000000004</v>
      </c>
      <c r="J38" s="11">
        <f>+'IS Actual &amp; Forecast'!J41</f>
        <v>7712.4750000000004</v>
      </c>
      <c r="K38" s="11">
        <f>+'IS Actual &amp; Forecast'!K41</f>
        <v>7637.4750000000004</v>
      </c>
      <c r="L38" s="11">
        <f>+'IS Actual &amp; Forecast'!L41</f>
        <v>7562.4750000000004</v>
      </c>
      <c r="M38" s="11">
        <f>+'IS Actual &amp; Forecast'!M41</f>
        <v>7487.4750000000004</v>
      </c>
      <c r="N38" s="11">
        <f>+'IS Actual &amp; Forecast'!N41</f>
        <v>7412.4750000000004</v>
      </c>
      <c r="O38" s="8">
        <f>SUM(C38:N38)</f>
        <v>93899.700000000012</v>
      </c>
      <c r="Q38" s="11">
        <f>+'IS Actual &amp; Forecast'!Q41</f>
        <v>7337.4750000000004</v>
      </c>
      <c r="R38" s="11">
        <f>+'IS Actual &amp; Forecast'!R41</f>
        <v>7262.4750000000004</v>
      </c>
      <c r="S38" s="11">
        <f>+'IS Actual &amp; Forecast'!S41</f>
        <v>7187.4750000000004</v>
      </c>
      <c r="T38" s="11">
        <f>+'IS Actual &amp; Forecast'!T41</f>
        <v>7112.4750000000004</v>
      </c>
      <c r="U38" s="11">
        <f>+'IS Actual &amp; Forecast'!U41</f>
        <v>7037.4750000000004</v>
      </c>
      <c r="V38" s="11">
        <f>+'IS Actual &amp; Forecast'!V41</f>
        <v>6962.4750000000004</v>
      </c>
      <c r="W38" s="8"/>
      <c r="X38" s="8"/>
      <c r="Y38" s="8"/>
      <c r="Z38" s="8"/>
      <c r="AA38" s="8"/>
      <c r="AB38" s="8"/>
      <c r="AC38" s="8">
        <f>SUM(Q38:AB38)</f>
        <v>42899.85</v>
      </c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>
        <f>SUM(AE38:AP38)</f>
        <v>0</v>
      </c>
    </row>
    <row r="39" spans="1:43" x14ac:dyDescent="0.15">
      <c r="A39" s="1" t="s">
        <v>95</v>
      </c>
      <c r="C39" s="6">
        <f>+'IS Actual &amp; Forecast'!C42</f>
        <v>0</v>
      </c>
      <c r="D39" s="6">
        <f>+'IS Actual &amp; Forecast'!D42</f>
        <v>0</v>
      </c>
      <c r="E39" s="6">
        <f>+'IS Actual &amp; Forecast'!E42</f>
        <v>0</v>
      </c>
      <c r="F39" s="6">
        <f>+'IS Actual &amp; Forecast'!F42</f>
        <v>0</v>
      </c>
      <c r="G39" s="6">
        <f>+'IS Actual &amp; Forecast'!G42</f>
        <v>0</v>
      </c>
      <c r="H39" s="6">
        <f>+'IS Actual &amp; Forecast'!H42</f>
        <v>0</v>
      </c>
      <c r="I39" s="6">
        <f>+'IS Actual &amp; Forecast'!I42</f>
        <v>0</v>
      </c>
      <c r="J39" s="6">
        <f>+'IS Actual &amp; Forecast'!J42</f>
        <v>0</v>
      </c>
      <c r="K39" s="6">
        <f>+'IS Actual &amp; Forecast'!K42</f>
        <v>0</v>
      </c>
      <c r="L39" s="6">
        <f>+'IS Actual &amp; Forecast'!L42</f>
        <v>0</v>
      </c>
      <c r="M39" s="6">
        <f>+'IS Actual &amp; Forecast'!M42</f>
        <v>0</v>
      </c>
      <c r="N39" s="6">
        <f>+'IS Actual &amp; Forecast'!N42</f>
        <v>0</v>
      </c>
      <c r="O39" s="6">
        <f>SUM(C39:N39)</f>
        <v>0</v>
      </c>
      <c r="Q39" s="6">
        <f>+'IS Actual &amp; Forecast'!Q42</f>
        <v>0</v>
      </c>
      <c r="R39" s="6">
        <f>+'IS Actual &amp; Forecast'!R42</f>
        <v>0</v>
      </c>
      <c r="S39" s="6">
        <f>+'IS Actual &amp; Forecast'!S42</f>
        <v>0</v>
      </c>
      <c r="T39" s="6">
        <f>+'IS Actual &amp; Forecast'!T42</f>
        <v>0</v>
      </c>
      <c r="U39" s="6">
        <f>+'IS Actual &amp; Forecast'!U42</f>
        <v>0</v>
      </c>
      <c r="V39" s="6">
        <f>+'IS Actual &amp; Forecast'!V42</f>
        <v>0</v>
      </c>
      <c r="W39" s="6"/>
      <c r="X39" s="6"/>
      <c r="Y39" s="6"/>
      <c r="Z39" s="6"/>
      <c r="AA39" s="6"/>
      <c r="AB39" s="6"/>
      <c r="AC39" s="6">
        <f>SUM(Q39:AB39)</f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f>SUM(AE39:AP39)</f>
        <v>0</v>
      </c>
    </row>
    <row r="41" spans="1:43" x14ac:dyDescent="0.15">
      <c r="A41" s="1" t="s">
        <v>18</v>
      </c>
      <c r="C41" s="6">
        <f>SUM(C38:C39)</f>
        <v>8237.4750000000004</v>
      </c>
      <c r="D41" s="6">
        <f t="shared" ref="D41:N41" si="23">SUM(D38:D39)</f>
        <v>8162.4750000000004</v>
      </c>
      <c r="E41" s="6">
        <f t="shared" si="23"/>
        <v>8087.4750000000004</v>
      </c>
      <c r="F41" s="6">
        <f t="shared" si="23"/>
        <v>8012.4750000000004</v>
      </c>
      <c r="G41" s="6">
        <f t="shared" si="23"/>
        <v>7937.4750000000004</v>
      </c>
      <c r="H41" s="6">
        <f t="shared" si="23"/>
        <v>7862.4750000000004</v>
      </c>
      <c r="I41" s="6">
        <f t="shared" si="23"/>
        <v>7787.4750000000004</v>
      </c>
      <c r="J41" s="6">
        <f t="shared" si="23"/>
        <v>7712.4750000000004</v>
      </c>
      <c r="K41" s="6">
        <f t="shared" si="23"/>
        <v>7637.4750000000004</v>
      </c>
      <c r="L41" s="6">
        <f t="shared" si="23"/>
        <v>7562.4750000000004</v>
      </c>
      <c r="M41" s="6">
        <f t="shared" si="23"/>
        <v>7487.4750000000004</v>
      </c>
      <c r="N41" s="6">
        <f t="shared" si="23"/>
        <v>7412.4750000000004</v>
      </c>
      <c r="O41" s="6">
        <f t="shared" ref="O41" si="24">SUM(O38:O39)</f>
        <v>93899.700000000012</v>
      </c>
      <c r="Q41" s="6">
        <f t="shared" ref="Q41:V41" si="25">SUM(Q38:Q39)</f>
        <v>7337.4750000000004</v>
      </c>
      <c r="R41" s="6">
        <f t="shared" si="25"/>
        <v>7262.4750000000004</v>
      </c>
      <c r="S41" s="6">
        <f t="shared" si="25"/>
        <v>7187.4750000000004</v>
      </c>
      <c r="T41" s="6">
        <f t="shared" si="25"/>
        <v>7112.4750000000004</v>
      </c>
      <c r="U41" s="6">
        <f t="shared" si="25"/>
        <v>7037.4750000000004</v>
      </c>
      <c r="V41" s="6">
        <f t="shared" si="25"/>
        <v>6962.4750000000004</v>
      </c>
      <c r="W41" s="6">
        <f t="shared" ref="W41:AC41" si="26">SUM(W38:W39)</f>
        <v>0</v>
      </c>
      <c r="X41" s="6">
        <f t="shared" si="26"/>
        <v>0</v>
      </c>
      <c r="Y41" s="6">
        <f t="shared" si="26"/>
        <v>0</v>
      </c>
      <c r="Z41" s="6">
        <f t="shared" si="26"/>
        <v>0</v>
      </c>
      <c r="AA41" s="6">
        <f t="shared" si="26"/>
        <v>0</v>
      </c>
      <c r="AB41" s="6">
        <f t="shared" si="26"/>
        <v>0</v>
      </c>
      <c r="AC41" s="6">
        <f t="shared" si="26"/>
        <v>42899.85</v>
      </c>
      <c r="AE41" s="6">
        <f>SUM(AE38:AE39)</f>
        <v>0</v>
      </c>
      <c r="AF41" s="6">
        <f t="shared" ref="AF41:AQ41" si="27">SUM(AF38:AF39)</f>
        <v>0</v>
      </c>
      <c r="AG41" s="6">
        <f t="shared" si="27"/>
        <v>0</v>
      </c>
      <c r="AH41" s="6">
        <f t="shared" si="27"/>
        <v>0</v>
      </c>
      <c r="AI41" s="6">
        <f t="shared" si="27"/>
        <v>0</v>
      </c>
      <c r="AJ41" s="6">
        <f t="shared" si="27"/>
        <v>0</v>
      </c>
      <c r="AK41" s="6">
        <f t="shared" si="27"/>
        <v>0</v>
      </c>
      <c r="AL41" s="6">
        <f t="shared" si="27"/>
        <v>0</v>
      </c>
      <c r="AM41" s="6">
        <f t="shared" si="27"/>
        <v>0</v>
      </c>
      <c r="AN41" s="6">
        <f t="shared" si="27"/>
        <v>0</v>
      </c>
      <c r="AO41" s="6">
        <f t="shared" si="27"/>
        <v>0</v>
      </c>
      <c r="AP41" s="6">
        <f t="shared" si="27"/>
        <v>0</v>
      </c>
      <c r="AQ41" s="6">
        <f t="shared" si="27"/>
        <v>0</v>
      </c>
    </row>
    <row r="43" spans="1:43" x14ac:dyDescent="0.15">
      <c r="A43" s="1" t="s">
        <v>53</v>
      </c>
      <c r="C43" s="30">
        <f>C36-C41</f>
        <v>112718.38900000005</v>
      </c>
      <c r="D43" s="30">
        <f t="shared" ref="D43:N43" si="28">D36-D41</f>
        <v>174849.99420000016</v>
      </c>
      <c r="E43" s="30">
        <f t="shared" si="28"/>
        <v>129872.47371085733</v>
      </c>
      <c r="F43" s="30">
        <f t="shared" si="28"/>
        <v>65884.611169058568</v>
      </c>
      <c r="G43" s="30">
        <f t="shared" si="28"/>
        <v>107686.05107013127</v>
      </c>
      <c r="H43" s="30">
        <f t="shared" si="28"/>
        <v>167715.50164606649</v>
      </c>
      <c r="I43" s="30">
        <f t="shared" si="28"/>
        <v>174792.14306393373</v>
      </c>
      <c r="J43" s="30">
        <f t="shared" si="28"/>
        <v>182771.09773868279</v>
      </c>
      <c r="K43" s="30">
        <f t="shared" si="28"/>
        <v>145053.73950084602</v>
      </c>
      <c r="L43" s="30">
        <f t="shared" si="28"/>
        <v>60503.635878823996</v>
      </c>
      <c r="M43" s="30">
        <f t="shared" si="28"/>
        <v>110938.43898937415</v>
      </c>
      <c r="N43" s="30">
        <f t="shared" si="28"/>
        <v>64675.888342249709</v>
      </c>
      <c r="O43" s="30">
        <f t="shared" ref="O43" si="29">O36-O41</f>
        <v>1497461.9643100202</v>
      </c>
      <c r="Q43" s="30">
        <f t="shared" ref="Q43:V43" si="30">Q36-Q41</f>
        <v>125792.02647521088</v>
      </c>
      <c r="R43" s="30">
        <f t="shared" si="30"/>
        <v>237266.60261000015</v>
      </c>
      <c r="S43" s="30">
        <f t="shared" si="30"/>
        <v>161140.48813239767</v>
      </c>
      <c r="T43" s="30">
        <f t="shared" si="30"/>
        <v>67797.717478498816</v>
      </c>
      <c r="U43" s="30">
        <f t="shared" si="30"/>
        <v>77122.465164527268</v>
      </c>
      <c r="V43" s="30">
        <f t="shared" si="30"/>
        <v>41165.317365626812</v>
      </c>
      <c r="W43" s="30">
        <f t="shared" ref="W43:AC43" si="31">W36-W41</f>
        <v>0</v>
      </c>
      <c r="X43" s="30">
        <f t="shared" si="31"/>
        <v>0</v>
      </c>
      <c r="Y43" s="30">
        <f t="shared" si="31"/>
        <v>0</v>
      </c>
      <c r="Z43" s="30">
        <f t="shared" si="31"/>
        <v>0</v>
      </c>
      <c r="AA43" s="30">
        <f t="shared" si="31"/>
        <v>0</v>
      </c>
      <c r="AB43" s="30">
        <f t="shared" si="31"/>
        <v>0</v>
      </c>
      <c r="AC43" s="30">
        <f t="shared" si="31"/>
        <v>710284.61722626293</v>
      </c>
      <c r="AE43" s="30">
        <f>AE36-AE41</f>
        <v>0</v>
      </c>
      <c r="AF43" s="30">
        <f t="shared" ref="AF43:AQ43" si="32">AF36-AF41</f>
        <v>0</v>
      </c>
      <c r="AG43" s="30">
        <f t="shared" si="32"/>
        <v>0</v>
      </c>
      <c r="AH43" s="30">
        <f t="shared" si="32"/>
        <v>0</v>
      </c>
      <c r="AI43" s="30">
        <f t="shared" si="32"/>
        <v>0</v>
      </c>
      <c r="AJ43" s="30">
        <f t="shared" si="32"/>
        <v>0</v>
      </c>
      <c r="AK43" s="30">
        <f t="shared" si="32"/>
        <v>0</v>
      </c>
      <c r="AL43" s="30">
        <f t="shared" si="32"/>
        <v>0</v>
      </c>
      <c r="AM43" s="30">
        <f t="shared" si="32"/>
        <v>0</v>
      </c>
      <c r="AN43" s="30">
        <f t="shared" si="32"/>
        <v>0</v>
      </c>
      <c r="AO43" s="30">
        <f t="shared" si="32"/>
        <v>0</v>
      </c>
      <c r="AP43" s="30">
        <f t="shared" si="32"/>
        <v>0</v>
      </c>
      <c r="AQ43" s="30">
        <f t="shared" si="32"/>
        <v>0</v>
      </c>
    </row>
    <row r="46" spans="1:43" x14ac:dyDescent="0.15">
      <c r="A46" s="29" t="s">
        <v>32</v>
      </c>
      <c r="C46" s="23">
        <f>+C43+C41+C30</f>
        <v>126430.86400000006</v>
      </c>
      <c r="D46" s="23">
        <f t="shared" ref="D46:N46" si="33">+D43+D41+D30</f>
        <v>188487.46920000017</v>
      </c>
      <c r="E46" s="23">
        <f t="shared" si="33"/>
        <v>143434.94871085734</v>
      </c>
      <c r="F46" s="23">
        <f t="shared" si="33"/>
        <v>79372.086169058573</v>
      </c>
      <c r="G46" s="23">
        <f t="shared" si="33"/>
        <v>121098.52607013128</v>
      </c>
      <c r="H46" s="23">
        <f t="shared" si="33"/>
        <v>181052.9766460665</v>
      </c>
      <c r="I46" s="23">
        <f t="shared" si="33"/>
        <v>188054.61806393374</v>
      </c>
      <c r="J46" s="23">
        <f t="shared" si="33"/>
        <v>195958.57273868279</v>
      </c>
      <c r="K46" s="23">
        <f t="shared" si="33"/>
        <v>158166.21450084602</v>
      </c>
      <c r="L46" s="23">
        <f t="shared" si="33"/>
        <v>73541.110878823994</v>
      </c>
      <c r="M46" s="23">
        <f t="shared" si="33"/>
        <v>123900.91398937415</v>
      </c>
      <c r="N46" s="23">
        <f t="shared" si="33"/>
        <v>82438.363342249708</v>
      </c>
      <c r="O46" s="23">
        <f t="shared" ref="O46" si="34">+O43+O41+O30</f>
        <v>1661936.6643100202</v>
      </c>
      <c r="Q46" s="23">
        <f t="shared" ref="Q46:V46" si="35">+Q43+Q41+Q30</f>
        <v>138979.50147521088</v>
      </c>
      <c r="R46" s="23">
        <f t="shared" si="35"/>
        <v>250379.07761000015</v>
      </c>
      <c r="S46" s="23">
        <f t="shared" si="35"/>
        <v>174177.96313239768</v>
      </c>
      <c r="T46" s="23">
        <f t="shared" si="35"/>
        <v>80760.192478498822</v>
      </c>
      <c r="U46" s="23">
        <f t="shared" si="35"/>
        <v>90009.940164527274</v>
      </c>
      <c r="V46" s="23">
        <f t="shared" si="35"/>
        <v>53977.79236562681</v>
      </c>
      <c r="W46" s="23">
        <f t="shared" ref="W46:AC46" si="36">+W43+W41+W30</f>
        <v>0</v>
      </c>
      <c r="X46" s="23">
        <f t="shared" si="36"/>
        <v>0</v>
      </c>
      <c r="Y46" s="23">
        <f t="shared" si="36"/>
        <v>0</v>
      </c>
      <c r="Z46" s="23">
        <f t="shared" si="36"/>
        <v>0</v>
      </c>
      <c r="AA46" s="23">
        <f t="shared" si="36"/>
        <v>0</v>
      </c>
      <c r="AB46" s="23">
        <f t="shared" si="36"/>
        <v>0</v>
      </c>
      <c r="AC46" s="23">
        <f t="shared" si="36"/>
        <v>788284.4672262629</v>
      </c>
      <c r="AE46" s="23">
        <f>+AE43+AE41+AE30</f>
        <v>0</v>
      </c>
      <c r="AF46" s="23">
        <f t="shared" ref="AF46:AQ46" si="37">+AF43+AF41+AF30</f>
        <v>0</v>
      </c>
      <c r="AG46" s="23">
        <f t="shared" si="37"/>
        <v>0</v>
      </c>
      <c r="AH46" s="23">
        <f t="shared" si="37"/>
        <v>0</v>
      </c>
      <c r="AI46" s="23">
        <f t="shared" si="37"/>
        <v>0</v>
      </c>
      <c r="AJ46" s="23">
        <f t="shared" si="37"/>
        <v>0</v>
      </c>
      <c r="AK46" s="23">
        <f t="shared" si="37"/>
        <v>0</v>
      </c>
      <c r="AL46" s="23">
        <f t="shared" si="37"/>
        <v>0</v>
      </c>
      <c r="AM46" s="23">
        <f t="shared" si="37"/>
        <v>0</v>
      </c>
      <c r="AN46" s="23">
        <f t="shared" si="37"/>
        <v>0</v>
      </c>
      <c r="AO46" s="23">
        <f t="shared" si="37"/>
        <v>0</v>
      </c>
      <c r="AP46" s="23">
        <f t="shared" si="37"/>
        <v>0</v>
      </c>
      <c r="AQ46" s="23">
        <f t="shared" si="37"/>
        <v>0</v>
      </c>
    </row>
    <row r="49" spans="1:22" x14ac:dyDescent="0.15">
      <c r="A49" s="54" t="s">
        <v>179</v>
      </c>
      <c r="C49" s="31">
        <f>+'IS Actual &amp; Forecast'!C46</f>
        <v>112718.38900000005</v>
      </c>
      <c r="D49" s="31">
        <f>+'IS Actual &amp; Forecast'!D46</f>
        <v>174849.99420000016</v>
      </c>
      <c r="E49" s="31">
        <f>+'IS Actual &amp; Forecast'!E46</f>
        <v>129872.47371085733</v>
      </c>
      <c r="F49" s="31">
        <f>+'IS Actual &amp; Forecast'!F46</f>
        <v>65884.611169058568</v>
      </c>
      <c r="G49" s="31">
        <f>+'IS Actual &amp; Forecast'!G46</f>
        <v>107686.05107013127</v>
      </c>
      <c r="H49" s="31">
        <f>+'IS Actual &amp; Forecast'!H46</f>
        <v>167715.50164606649</v>
      </c>
      <c r="I49" s="31">
        <f>+'IS Actual &amp; Forecast'!I46</f>
        <v>174792.14306393373</v>
      </c>
      <c r="J49" s="31">
        <f>+'IS Actual &amp; Forecast'!J46</f>
        <v>182771.09773868279</v>
      </c>
      <c r="K49" s="31">
        <f>+'IS Actual &amp; Forecast'!K46</f>
        <v>145053.73950084602</v>
      </c>
      <c r="L49" s="31">
        <f>+'IS Actual &amp; Forecast'!L46</f>
        <v>60503.635878823996</v>
      </c>
      <c r="M49" s="31">
        <f>+'IS Actual &amp; Forecast'!M46</f>
        <v>110938.43898937415</v>
      </c>
      <c r="N49" s="31">
        <f>+'IS Actual &amp; Forecast'!N46</f>
        <v>64675.888342249709</v>
      </c>
      <c r="Q49" s="31">
        <f>+'IS Actual &amp; Forecast'!Q46</f>
        <v>125792.02647521088</v>
      </c>
      <c r="R49" s="31">
        <f>+'IS Actual &amp; Forecast'!R46</f>
        <v>237266.60261000015</v>
      </c>
      <c r="S49" s="31">
        <f>+'IS Actual &amp; Forecast'!S46</f>
        <v>161140.48813239767</v>
      </c>
      <c r="T49" s="31">
        <f>+'IS Actual &amp; Forecast'!T46</f>
        <v>67797.717478498816</v>
      </c>
      <c r="U49" s="31">
        <f>+'IS Actual &amp; Forecast'!U46</f>
        <v>77122.465164527268</v>
      </c>
      <c r="V49" s="31">
        <f>+'IS Actual &amp; Forecast'!V46</f>
        <v>41165.317365626812</v>
      </c>
    </row>
    <row r="50" spans="1:22" x14ac:dyDescent="0.15">
      <c r="C50" s="31">
        <f>+C49-C43</f>
        <v>0</v>
      </c>
      <c r="D50" s="31">
        <f t="shared" ref="D50:N50" si="38">+D49-D43</f>
        <v>0</v>
      </c>
      <c r="E50" s="31">
        <f t="shared" si="38"/>
        <v>0</v>
      </c>
      <c r="F50" s="31">
        <f t="shared" si="38"/>
        <v>0</v>
      </c>
      <c r="G50" s="31">
        <f t="shared" si="38"/>
        <v>0</v>
      </c>
      <c r="H50" s="31">
        <f t="shared" si="38"/>
        <v>0</v>
      </c>
      <c r="I50" s="31">
        <f t="shared" si="38"/>
        <v>0</v>
      </c>
      <c r="J50" s="31">
        <f t="shared" si="38"/>
        <v>0</v>
      </c>
      <c r="K50" s="31">
        <f t="shared" si="38"/>
        <v>0</v>
      </c>
      <c r="L50" s="31">
        <f t="shared" si="38"/>
        <v>0</v>
      </c>
      <c r="M50" s="31">
        <f t="shared" si="38"/>
        <v>0</v>
      </c>
      <c r="N50" s="31">
        <f t="shared" si="38"/>
        <v>0</v>
      </c>
      <c r="Q50" s="31">
        <f t="shared" ref="Q50:V50" si="39">+Q49-Q43</f>
        <v>0</v>
      </c>
      <c r="R50" s="31">
        <f t="shared" si="39"/>
        <v>0</v>
      </c>
      <c r="S50" s="31">
        <f t="shared" si="39"/>
        <v>0</v>
      </c>
      <c r="T50" s="31">
        <f t="shared" si="39"/>
        <v>0</v>
      </c>
      <c r="U50" s="31">
        <f t="shared" si="39"/>
        <v>0</v>
      </c>
      <c r="V50" s="31">
        <f t="shared" si="39"/>
        <v>0</v>
      </c>
    </row>
  </sheetData>
  <pageMargins left="0.75" right="0.75" top="1" bottom="1" header="0.5" footer="0.5"/>
  <pageSetup scale="61" orientation="landscape"/>
  <headerFooter alignWithMargins="0"/>
  <colBreaks count="2" manualBreakCount="2">
    <brk id="16" max="49" man="1"/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AP52"/>
  <sheetViews>
    <sheetView topLeftCell="I1" workbookViewId="0">
      <selection activeCell="J61" sqref="J61"/>
    </sheetView>
  </sheetViews>
  <sheetFormatPr baseColWidth="10" defaultColWidth="8.83203125" defaultRowHeight="13" outlineLevelCol="1" x14ac:dyDescent="0.15"/>
  <cols>
    <col min="1" max="1" width="57.6640625" customWidth="1"/>
    <col min="3" max="4" width="12.33203125" customWidth="1" outlineLevel="1"/>
    <col min="5" max="7" width="11.33203125" customWidth="1" outlineLevel="1"/>
    <col min="8" max="8" width="11.1640625" customWidth="1" outlineLevel="1"/>
    <col min="9" max="13" width="11.33203125" customWidth="1" outlineLevel="1"/>
    <col min="14" max="14" width="11.33203125" bestFit="1" customWidth="1"/>
    <col min="15" max="15" width="1.83203125" customWidth="1"/>
    <col min="16" max="16" width="2" customWidth="1"/>
    <col min="17" max="21" width="11.33203125" bestFit="1" customWidth="1" outlineLevel="1"/>
    <col min="22" max="22" width="11.6640625" customWidth="1" outlineLevel="1"/>
    <col min="23" max="27" width="9.6640625" bestFit="1" customWidth="1" outlineLevel="1"/>
    <col min="28" max="28" width="9.6640625" bestFit="1" customWidth="1"/>
    <col min="29" max="29" width="1.83203125" customWidth="1"/>
    <col min="30" max="30" width="1.5" customWidth="1"/>
  </cols>
  <sheetData>
    <row r="1" spans="1:42" x14ac:dyDescent="0.15">
      <c r="A1" s="1" t="str">
        <f>+'BS Actual &amp; Forecast'!A1</f>
        <v>ABC Construction Company</v>
      </c>
    </row>
    <row r="2" spans="1:42" ht="20" x14ac:dyDescent="0.2">
      <c r="A2" s="2" t="s">
        <v>55</v>
      </c>
      <c r="H2" s="38" t="s">
        <v>82</v>
      </c>
      <c r="V2" s="38" t="s">
        <v>84</v>
      </c>
      <c r="AJ2" s="38" t="s">
        <v>90</v>
      </c>
    </row>
    <row r="3" spans="1:42" x14ac:dyDescent="0.15">
      <c r="A3" s="22"/>
    </row>
    <row r="4" spans="1:42" x14ac:dyDescent="0.15">
      <c r="A4" s="22"/>
    </row>
    <row r="5" spans="1:42" x14ac:dyDescent="0.15">
      <c r="D5" s="25"/>
      <c r="F5" s="25"/>
    </row>
    <row r="6" spans="1:42" x14ac:dyDescent="0.15">
      <c r="C6" s="25" t="s">
        <v>54</v>
      </c>
      <c r="D6" s="25" t="s">
        <v>54</v>
      </c>
      <c r="E6" s="25" t="s">
        <v>54</v>
      </c>
      <c r="F6" s="25" t="s">
        <v>54</v>
      </c>
      <c r="G6" s="25" t="s">
        <v>54</v>
      </c>
      <c r="H6" s="25" t="s">
        <v>54</v>
      </c>
      <c r="I6" s="25" t="s">
        <v>54</v>
      </c>
      <c r="J6" s="25" t="s">
        <v>54</v>
      </c>
      <c r="K6" s="25" t="s">
        <v>54</v>
      </c>
      <c r="L6" s="25" t="s">
        <v>54</v>
      </c>
      <c r="M6" s="25" t="s">
        <v>54</v>
      </c>
      <c r="N6" s="25" t="s">
        <v>54</v>
      </c>
      <c r="Q6" s="25" t="s">
        <v>54</v>
      </c>
      <c r="R6" s="25" t="s">
        <v>54</v>
      </c>
      <c r="S6" s="25" t="s">
        <v>54</v>
      </c>
      <c r="T6" s="25" t="s">
        <v>54</v>
      </c>
      <c r="U6" s="25" t="s">
        <v>54</v>
      </c>
      <c r="V6" s="25" t="s">
        <v>54</v>
      </c>
      <c r="W6" s="25"/>
      <c r="X6" s="25"/>
      <c r="Y6" s="25"/>
      <c r="Z6" s="25"/>
      <c r="AA6" s="25"/>
      <c r="AB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2" x14ac:dyDescent="0.15">
      <c r="A7" s="25" t="s">
        <v>57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</row>
    <row r="9" spans="1:42" x14ac:dyDescent="0.15">
      <c r="A9" s="16" t="s">
        <v>58</v>
      </c>
    </row>
    <row r="10" spans="1:42" x14ac:dyDescent="0.15">
      <c r="A10" t="s">
        <v>56</v>
      </c>
      <c r="C10" s="31">
        <f>+'BS Actual &amp; Forecast'!C10</f>
        <v>1143470.5249999999</v>
      </c>
      <c r="D10" s="31">
        <f>+'BS Actual &amp; Forecast'!D10</f>
        <v>1340164.5615462058</v>
      </c>
      <c r="E10" s="31">
        <f>+'BS Actual &amp; Forecast'!E10</f>
        <v>1381504.0121351893</v>
      </c>
      <c r="F10" s="31">
        <f>+'BS Actual &amp; Forecast'!F10</f>
        <v>1024988.879509558</v>
      </c>
      <c r="G10" s="31">
        <f>+'BS Actual &amp; Forecast'!G10</f>
        <v>1234820.0419533211</v>
      </c>
      <c r="H10" s="31">
        <f>+'BS Actual &amp; Forecast'!H10</f>
        <v>1445426.0000354236</v>
      </c>
      <c r="I10" s="31">
        <f>+'BS Actual &amp; Forecast'!I10</f>
        <v>1515778.7802452419</v>
      </c>
      <c r="J10" s="31">
        <f>+'BS Actual &amp; Forecast'!J10</f>
        <v>2053094.8316713092</v>
      </c>
      <c r="K10" s="31">
        <f>+'BS Actual &amp; Forecast'!K10</f>
        <v>1763674.1533960719</v>
      </c>
      <c r="L10" s="31">
        <f>+'BS Actual &amp; Forecast'!L10</f>
        <v>1470733.9138978163</v>
      </c>
      <c r="M10" s="31">
        <f>+'BS Actual &amp; Forecast'!M10</f>
        <v>1439566.2431089126</v>
      </c>
      <c r="N10" s="31">
        <f>+'BS Actual &amp; Forecast'!N10</f>
        <v>826312.63223657687</v>
      </c>
      <c r="Q10" s="31">
        <f>+'BS Actual &amp; Forecast'!Q10</f>
        <v>975031.52508366399</v>
      </c>
      <c r="R10" s="31">
        <f>+'BS Actual &amp; Forecast'!R10</f>
        <v>1323411.724154375</v>
      </c>
      <c r="S10" s="31">
        <f>+'BS Actual &amp; Forecast'!S10</f>
        <v>1523479.6571072412</v>
      </c>
      <c r="T10" s="31">
        <f>+'BS Actual &amp; Forecast'!T10</f>
        <v>1335275.4985574265</v>
      </c>
      <c r="U10" s="31">
        <f>+'BS Actual &amp; Forecast'!U10</f>
        <v>1176083.0876323741</v>
      </c>
      <c r="V10" s="31">
        <f>+'BS Actual &amp; Forecast'!V10</f>
        <v>1051408.8432631069</v>
      </c>
      <c r="W10" s="31"/>
      <c r="X10" s="31"/>
      <c r="Y10" s="31"/>
      <c r="Z10" s="31"/>
      <c r="AA10" s="31"/>
      <c r="AB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</row>
    <row r="11" spans="1:42" x14ac:dyDescent="0.15">
      <c r="A11" t="s">
        <v>59</v>
      </c>
      <c r="C11" s="23">
        <f>+'BS Actual &amp; Forecast'!C11</f>
        <v>2946231</v>
      </c>
      <c r="D11" s="23">
        <f>+'BS Actual &amp; Forecast'!D11</f>
        <v>2924855.1839999999</v>
      </c>
      <c r="E11" s="23">
        <f>+'BS Actual &amp; Forecast'!E11</f>
        <v>2968461.84864</v>
      </c>
      <c r="F11" s="23">
        <f>+'BS Actual &amp; Forecast'!F11</f>
        <v>2916630.5514671998</v>
      </c>
      <c r="G11" s="23">
        <f>+'BS Actual &amp; Forecast'!G11</f>
        <v>2876887.4373143036</v>
      </c>
      <c r="H11" s="23">
        <f>+'BS Actual &amp; Forecast'!H11</f>
        <v>2920604.8628824893</v>
      </c>
      <c r="I11" s="23">
        <f>+'BS Actual &amp; Forecast'!I11</f>
        <v>2858307.531447825</v>
      </c>
      <c r="J11" s="23">
        <f>+'BS Actual &amp; Forecast'!J11</f>
        <v>2932721.5414478253</v>
      </c>
      <c r="K11" s="23">
        <f>+'BS Actual &amp; Forecast'!K11</f>
        <v>2975706.7001377437</v>
      </c>
      <c r="L11" s="23">
        <f>+'BS Actual &amp; Forecast'!L11</f>
        <v>3013533.6397848721</v>
      </c>
      <c r="M11" s="23">
        <f>+'BS Actual &amp; Forecast'!M11</f>
        <v>2959630.2507877145</v>
      </c>
      <c r="N11" s="23">
        <f>+'BS Actual &amp; Forecast'!N11</f>
        <v>2915031.692340699</v>
      </c>
      <c r="Q11" s="23">
        <f>+'BS Actual &amp; Forecast'!Q11</f>
        <v>2850865.4409629945</v>
      </c>
      <c r="R11" s="23">
        <f>+'BS Actual &amp; Forecast'!R11</f>
        <v>2927511.8712629946</v>
      </c>
      <c r="S11" s="23">
        <f>+'BS Actual &amp; Forecast'!S11</f>
        <v>2971786.5847136108</v>
      </c>
      <c r="T11" s="23">
        <f>+'BS Actual &amp; Forecast'!T11</f>
        <v>3010748.3325501531</v>
      </c>
      <c r="U11" s="23">
        <f>+'BS Actual &amp; Forecast'!U11</f>
        <v>2955227.8418830805</v>
      </c>
      <c r="V11" s="23">
        <f>+'BS Actual &amp; Forecast'!V11</f>
        <v>2709291.0152306166</v>
      </c>
      <c r="W11" s="23"/>
      <c r="X11" s="23"/>
      <c r="Y11" s="23"/>
      <c r="Z11" s="23"/>
      <c r="AA11" s="23"/>
      <c r="AB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</row>
    <row r="12" spans="1:42" x14ac:dyDescent="0.15">
      <c r="A12" t="s">
        <v>60</v>
      </c>
      <c r="C12" s="35">
        <f>+'BS Actual &amp; Forecast'!C12</f>
        <v>163581</v>
      </c>
      <c r="D12" s="35">
        <f>+'BS Actual &amp; Forecast'!D12</f>
        <v>181493.93380800006</v>
      </c>
      <c r="E12" s="35">
        <f>+'BS Actual &amp; Forecast'!E12</f>
        <v>144384.66219936009</v>
      </c>
      <c r="F12" s="35">
        <f>+'BS Actual &amp; Forecast'!F12</f>
        <v>189063.24036231381</v>
      </c>
      <c r="G12" s="35">
        <f>+'BS Actual &amp; Forecast'!G12</f>
        <v>222725.65804981673</v>
      </c>
      <c r="H12" s="35">
        <f>+'BS Actual &amp; Forecast'!H12</f>
        <v>185915.58572140452</v>
      </c>
      <c r="I12" s="35">
        <f>+'BS Actual &amp; Forecast'!I12</f>
        <v>237871.56013791473</v>
      </c>
      <c r="J12" s="35">
        <f>+'BS Actual &amp; Forecast'!J12</f>
        <v>174247.58158791461</v>
      </c>
      <c r="K12" s="35">
        <f>+'BS Actual &amp; Forecast'!K12</f>
        <v>137882.13733624364</v>
      </c>
      <c r="L12" s="35">
        <f>+'BS Actual &amp; Forecast'!L12</f>
        <v>104934.87290359498</v>
      </c>
      <c r="M12" s="35">
        <f>+'BS Actual &amp; Forecast'!M12</f>
        <v>150537.13999519055</v>
      </c>
      <c r="N12" s="35">
        <f>+'BS Actual &amp; Forecast'!N12</f>
        <v>188044.52764913067</v>
      </c>
      <c r="Q12" s="35">
        <f>+'BS Actual &amp; Forecast'!Q12</f>
        <v>243163.33758257888</v>
      </c>
      <c r="R12" s="35">
        <f>+'BS Actual &amp; Forecast'!R12</f>
        <v>178856.98256087885</v>
      </c>
      <c r="S12" s="35">
        <f>+'BS Actual &amp; Forecast'!S12</f>
        <v>141621.94854891067</v>
      </c>
      <c r="T12" s="35">
        <f>+'BS Actual &amp; Forecast'!T12</f>
        <v>107647.30443544593</v>
      </c>
      <c r="U12" s="35">
        <f>+'BS Actual &amp; Forecast'!U12</f>
        <v>154673.16003045649</v>
      </c>
      <c r="V12" s="35">
        <f>+'BS Actual &amp; Forecast'!V12</f>
        <v>193765.13446601923</v>
      </c>
      <c r="W12" s="23"/>
      <c r="X12" s="23"/>
      <c r="Y12" s="23"/>
      <c r="Z12" s="23"/>
      <c r="AA12" s="23"/>
      <c r="AB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</row>
    <row r="13" spans="1:42" x14ac:dyDescent="0.15">
      <c r="A13" t="s">
        <v>117</v>
      </c>
      <c r="C13" s="35">
        <f>+'BS Actual &amp; Forecast'!C13</f>
        <v>209134</v>
      </c>
      <c r="D13" s="35">
        <f>+'BS Actual &amp; Forecast'!D13</f>
        <v>132807.2555</v>
      </c>
      <c r="E13" s="35">
        <f>+'BS Actual &amp; Forecast'!E13</f>
        <v>162429.04770499998</v>
      </c>
      <c r="F13" s="35">
        <f>+'BS Actual &amp; Forecast'!F13</f>
        <v>248684.47303799997</v>
      </c>
      <c r="G13" s="35">
        <f>+'BS Actual &amp; Forecast'!G13</f>
        <v>193570.61685119997</v>
      </c>
      <c r="H13" s="35">
        <f>+'BS Actual &amp; Forecast'!H13</f>
        <v>236761.060736124</v>
      </c>
      <c r="I13" s="35">
        <f>+'BS Actual &amp; Forecast'!I13</f>
        <v>219315.50889240962</v>
      </c>
      <c r="J13" s="35">
        <f>+'BS Actual &amp; Forecast'!J13</f>
        <v>162362.01267691201</v>
      </c>
      <c r="K13" s="35">
        <f>+'BS Actual &amp; Forecast'!K13</f>
        <v>142878.57115568258</v>
      </c>
      <c r="L13" s="35">
        <f>+'BS Actual &amp; Forecast'!L13</f>
        <v>216396.09049578835</v>
      </c>
      <c r="M13" s="35">
        <f>+'BS Actual &amp; Forecast'!M13</f>
        <v>217032.54958548184</v>
      </c>
      <c r="N13" s="35">
        <f>+'BS Actual &amp; Forecast'!N13</f>
        <v>245176.77053172822</v>
      </c>
      <c r="Q13" s="35">
        <f>+'BS Actual &amp; Forecast'!Q13</f>
        <v>207967.59006279535</v>
      </c>
      <c r="R13" s="35">
        <f>+'BS Actual &amp; Forecast'!R13</f>
        <v>318636.0576319258</v>
      </c>
      <c r="S13" s="35">
        <f>+'BS Actual &amp; Forecast'!S13</f>
        <v>336610.39934449596</v>
      </c>
      <c r="T13" s="35">
        <f>+'BS Actual &amp; Forecast'!T13</f>
        <v>255487.29310247244</v>
      </c>
      <c r="U13" s="35">
        <f>+'BS Actual &amp; Forecast'!U13</f>
        <v>250377.54724042301</v>
      </c>
      <c r="V13" s="35">
        <f>+'BS Actual &amp; Forecast'!V13</f>
        <v>223442.99291607447</v>
      </c>
      <c r="W13" s="23"/>
      <c r="X13" s="23"/>
      <c r="Y13" s="23"/>
      <c r="Z13" s="23"/>
      <c r="AA13" s="23"/>
      <c r="AB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</row>
    <row r="14" spans="1:42" x14ac:dyDescent="0.15">
      <c r="A14" t="s">
        <v>61</v>
      </c>
      <c r="C14" s="24">
        <f>+'BS Actual &amp; Forecast'!C14</f>
        <v>24876</v>
      </c>
      <c r="D14" s="24">
        <f>+'BS Actual &amp; Forecast'!D14</f>
        <v>25876</v>
      </c>
      <c r="E14" s="24">
        <f>+'BS Actual &amp; Forecast'!E14</f>
        <v>25876</v>
      </c>
      <c r="F14" s="24">
        <f>+'BS Actual &amp; Forecast'!F14</f>
        <v>25876</v>
      </c>
      <c r="G14" s="24">
        <f>+'BS Actual &amp; Forecast'!G14</f>
        <v>25876</v>
      </c>
      <c r="H14" s="24">
        <f>+'BS Actual &amp; Forecast'!H14</f>
        <v>25876</v>
      </c>
      <c r="I14" s="24">
        <f>+'BS Actual &amp; Forecast'!I14</f>
        <v>25876</v>
      </c>
      <c r="J14" s="24">
        <f>+'BS Actual &amp; Forecast'!J14</f>
        <v>23376</v>
      </c>
      <c r="K14" s="24">
        <f>+'BS Actual &amp; Forecast'!K14</f>
        <v>23376</v>
      </c>
      <c r="L14" s="24">
        <f>+'BS Actual &amp; Forecast'!L14</f>
        <v>23376</v>
      </c>
      <c r="M14" s="24">
        <f>+'BS Actual &amp; Forecast'!M14</f>
        <v>23376</v>
      </c>
      <c r="N14" s="24">
        <f>+'BS Actual &amp; Forecast'!N14</f>
        <v>23376</v>
      </c>
      <c r="Q14" s="24">
        <f>+'BS Actual &amp; Forecast'!Q14</f>
        <v>23376</v>
      </c>
      <c r="R14" s="24">
        <f>+'BS Actual &amp; Forecast'!R14</f>
        <v>23376</v>
      </c>
      <c r="S14" s="24">
        <f>+'BS Actual &amp; Forecast'!S14</f>
        <v>23376</v>
      </c>
      <c r="T14" s="24">
        <f>+'BS Actual &amp; Forecast'!T14</f>
        <v>23376</v>
      </c>
      <c r="U14" s="24">
        <f>+'BS Actual &amp; Forecast'!U14</f>
        <v>23376</v>
      </c>
      <c r="V14" s="24">
        <f>+'BS Actual &amp; Forecast'!V14</f>
        <v>23376</v>
      </c>
      <c r="W14" s="24"/>
      <c r="X14" s="24"/>
      <c r="Y14" s="24"/>
      <c r="Z14" s="24"/>
      <c r="AA14" s="24"/>
      <c r="AB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</row>
    <row r="15" spans="1:42" x14ac:dyDescent="0.15">
      <c r="A15" t="s">
        <v>62</v>
      </c>
      <c r="C15" s="23">
        <f>SUM(C10:C14)</f>
        <v>4487292.5250000004</v>
      </c>
      <c r="D15" s="23">
        <f t="shared" ref="D15:N15" si="0">SUM(D10:D14)</f>
        <v>4605196.9348542057</v>
      </c>
      <c r="E15" s="23">
        <f t="shared" si="0"/>
        <v>4682655.5706795501</v>
      </c>
      <c r="F15" s="23">
        <f t="shared" si="0"/>
        <v>4405243.1443770714</v>
      </c>
      <c r="G15" s="23">
        <f t="shared" si="0"/>
        <v>4553879.7541686418</v>
      </c>
      <c r="H15" s="23">
        <f t="shared" si="0"/>
        <v>4814583.5093754418</v>
      </c>
      <c r="I15" s="23">
        <f t="shared" si="0"/>
        <v>4857149.3807233907</v>
      </c>
      <c r="J15" s="23">
        <f t="shared" si="0"/>
        <v>5345801.9673839612</v>
      </c>
      <c r="K15" s="23">
        <f t="shared" si="0"/>
        <v>5043517.5620257417</v>
      </c>
      <c r="L15" s="23">
        <f t="shared" si="0"/>
        <v>4828974.5170820719</v>
      </c>
      <c r="M15" s="23">
        <f t="shared" si="0"/>
        <v>4790142.1834772993</v>
      </c>
      <c r="N15" s="23">
        <f t="shared" si="0"/>
        <v>4197941.6227581352</v>
      </c>
      <c r="Q15" s="23">
        <f t="shared" ref="Q15:V15" si="1">SUM(Q10:Q14)</f>
        <v>4300403.8936920324</v>
      </c>
      <c r="R15" s="23">
        <f t="shared" si="1"/>
        <v>4771792.6356101735</v>
      </c>
      <c r="S15" s="23">
        <f t="shared" si="1"/>
        <v>4996874.5897142589</v>
      </c>
      <c r="T15" s="23">
        <f t="shared" si="1"/>
        <v>4732534.4286454972</v>
      </c>
      <c r="U15" s="23">
        <f t="shared" si="1"/>
        <v>4559737.6367863342</v>
      </c>
      <c r="V15" s="23">
        <f t="shared" si="1"/>
        <v>4201283.985875817</v>
      </c>
      <c r="W15" s="23">
        <f t="shared" ref="W15:AB15" si="2">SUM(W10:W14)</f>
        <v>0</v>
      </c>
      <c r="X15" s="23">
        <f t="shared" si="2"/>
        <v>0</v>
      </c>
      <c r="Y15" s="23">
        <f t="shared" si="2"/>
        <v>0</v>
      </c>
      <c r="Z15" s="23">
        <f t="shared" si="2"/>
        <v>0</v>
      </c>
      <c r="AA15" s="23">
        <f t="shared" si="2"/>
        <v>0</v>
      </c>
      <c r="AB15" s="23">
        <f t="shared" si="2"/>
        <v>0</v>
      </c>
      <c r="AE15" s="23">
        <f t="shared" ref="AE15:AJ15" si="3">SUM(AE10:AE14)</f>
        <v>0</v>
      </c>
      <c r="AF15" s="23">
        <f t="shared" si="3"/>
        <v>0</v>
      </c>
      <c r="AG15" s="23">
        <f t="shared" si="3"/>
        <v>0</v>
      </c>
      <c r="AH15" s="23">
        <f t="shared" si="3"/>
        <v>0</v>
      </c>
      <c r="AI15" s="23">
        <f t="shared" si="3"/>
        <v>0</v>
      </c>
      <c r="AJ15" s="23">
        <f t="shared" si="3"/>
        <v>0</v>
      </c>
      <c r="AK15" s="23">
        <f t="shared" ref="AK15:AP15" si="4">SUM(AK10:AK14)</f>
        <v>0</v>
      </c>
      <c r="AL15" s="23">
        <f t="shared" si="4"/>
        <v>0</v>
      </c>
      <c r="AM15" s="23">
        <f t="shared" si="4"/>
        <v>0</v>
      </c>
      <c r="AN15" s="23">
        <f t="shared" si="4"/>
        <v>0</v>
      </c>
      <c r="AO15" s="23">
        <f t="shared" si="4"/>
        <v>0</v>
      </c>
      <c r="AP15" s="23">
        <f t="shared" si="4"/>
        <v>0</v>
      </c>
    </row>
    <row r="16" spans="1:42" x14ac:dyDescent="0.15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1:42" x14ac:dyDescent="0.15">
      <c r="A17" s="16" t="s">
        <v>63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</row>
    <row r="18" spans="1:42" x14ac:dyDescent="0.15">
      <c r="A18" t="s">
        <v>64</v>
      </c>
      <c r="C18" s="35">
        <f>+'BS Actual &amp; Forecast'!C18</f>
        <v>202333</v>
      </c>
      <c r="D18" s="35">
        <f>+'BS Actual &amp; Forecast'!D18</f>
        <v>202333</v>
      </c>
      <c r="E18" s="35">
        <f>+'BS Actual &amp; Forecast'!E18</f>
        <v>217878</v>
      </c>
      <c r="F18" s="35">
        <f>+'BS Actual &amp; Forecast'!F18</f>
        <v>217878</v>
      </c>
      <c r="G18" s="35">
        <f>+'BS Actual &amp; Forecast'!G18</f>
        <v>221468</v>
      </c>
      <c r="H18" s="35">
        <f>+'BS Actual &amp; Forecast'!H18</f>
        <v>221468</v>
      </c>
      <c r="I18" s="35">
        <f>+'BS Actual &amp; Forecast'!I18</f>
        <v>221468</v>
      </c>
      <c r="J18" s="35">
        <f>+'BS Actual &amp; Forecast'!J18</f>
        <v>245457</v>
      </c>
      <c r="K18" s="35">
        <f>+'BS Actual &amp; Forecast'!K18</f>
        <v>245457</v>
      </c>
      <c r="L18" s="35">
        <f>+'BS Actual &amp; Forecast'!L18</f>
        <v>249927</v>
      </c>
      <c r="M18" s="35">
        <f>+'BS Actual &amp; Forecast'!M18</f>
        <v>249927</v>
      </c>
      <c r="N18" s="35">
        <f>+'BS Actual &amp; Forecast'!N18</f>
        <v>249927</v>
      </c>
      <c r="Q18" s="35">
        <f>+'BS Actual &amp; Forecast'!Q18</f>
        <v>261177</v>
      </c>
      <c r="R18" s="35">
        <f>+'BS Actual &amp; Forecast'!R18</f>
        <v>261177</v>
      </c>
      <c r="S18" s="35">
        <f>+'BS Actual &amp; Forecast'!S18</f>
        <v>279929</v>
      </c>
      <c r="T18" s="35">
        <f>+'BS Actual &amp; Forecast'!T18</f>
        <v>279929</v>
      </c>
      <c r="U18" s="35">
        <f>+'BS Actual &amp; Forecast'!U18</f>
        <v>279929</v>
      </c>
      <c r="V18" s="35">
        <f>+'BS Actual &amp; Forecast'!V18</f>
        <v>279929</v>
      </c>
      <c r="W18" s="23"/>
      <c r="X18" s="23"/>
      <c r="Y18" s="23"/>
      <c r="Z18" s="23"/>
      <c r="AA18" s="23"/>
      <c r="AB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</row>
    <row r="19" spans="1:42" x14ac:dyDescent="0.15">
      <c r="A19" t="s">
        <v>85</v>
      </c>
      <c r="C19" s="24">
        <f>+'BS Actual &amp; Forecast'!C19</f>
        <v>251590</v>
      </c>
      <c r="D19" s="24">
        <f>+'BS Actual &amp; Forecast'!D19</f>
        <v>251590</v>
      </c>
      <c r="E19" s="24">
        <f>+'BS Actual &amp; Forecast'!E19</f>
        <v>251590</v>
      </c>
      <c r="F19" s="24">
        <f>+'BS Actual &amp; Forecast'!F19</f>
        <v>251590</v>
      </c>
      <c r="G19" s="24">
        <f>+'BS Actual &amp; Forecast'!G19</f>
        <v>251590</v>
      </c>
      <c r="H19" s="24">
        <f>+'BS Actual &amp; Forecast'!H19</f>
        <v>251590</v>
      </c>
      <c r="I19" s="24">
        <f>+'BS Actual &amp; Forecast'!I19</f>
        <v>251590</v>
      </c>
      <c r="J19" s="24">
        <f>+'BS Actual &amp; Forecast'!J19</f>
        <v>251590</v>
      </c>
      <c r="K19" s="24">
        <f>+'BS Actual &amp; Forecast'!K19</f>
        <v>251590</v>
      </c>
      <c r="L19" s="24">
        <f>+'BS Actual &amp; Forecast'!L19</f>
        <v>251590</v>
      </c>
      <c r="M19" s="24">
        <f>+'BS Actual &amp; Forecast'!M19</f>
        <v>251590</v>
      </c>
      <c r="N19" s="24">
        <f>+'BS Actual &amp; Forecast'!N19</f>
        <v>251590</v>
      </c>
      <c r="Q19" s="24">
        <f>+'BS Actual &amp; Forecast'!Q19</f>
        <v>251590</v>
      </c>
      <c r="R19" s="24">
        <f>+'BS Actual &amp; Forecast'!R19</f>
        <v>251590</v>
      </c>
      <c r="S19" s="24">
        <f>+'BS Actual &amp; Forecast'!S19</f>
        <v>251590</v>
      </c>
      <c r="T19" s="24">
        <f>+'BS Actual &amp; Forecast'!T19</f>
        <v>251590</v>
      </c>
      <c r="U19" s="24">
        <f>+'BS Actual &amp; Forecast'!U19</f>
        <v>251590</v>
      </c>
      <c r="V19" s="24">
        <f>+'BS Actual &amp; Forecast'!V19</f>
        <v>251590</v>
      </c>
      <c r="W19" s="24"/>
      <c r="X19" s="24"/>
      <c r="Y19" s="24"/>
      <c r="Z19" s="24"/>
      <c r="AA19" s="24"/>
      <c r="AB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</row>
    <row r="20" spans="1:42" x14ac:dyDescent="0.15">
      <c r="A20" t="s">
        <v>65</v>
      </c>
      <c r="C20" s="23">
        <f>SUM(C18:C19)</f>
        <v>453923</v>
      </c>
      <c r="D20" s="23">
        <f t="shared" ref="D20:N20" si="5">SUM(D18:D19)</f>
        <v>453923</v>
      </c>
      <c r="E20" s="23">
        <f t="shared" si="5"/>
        <v>469468</v>
      </c>
      <c r="F20" s="23">
        <f t="shared" si="5"/>
        <v>469468</v>
      </c>
      <c r="G20" s="23">
        <f t="shared" si="5"/>
        <v>473058</v>
      </c>
      <c r="H20" s="23">
        <f t="shared" si="5"/>
        <v>473058</v>
      </c>
      <c r="I20" s="23">
        <f t="shared" si="5"/>
        <v>473058</v>
      </c>
      <c r="J20" s="23">
        <f t="shared" si="5"/>
        <v>497047</v>
      </c>
      <c r="K20" s="23">
        <f t="shared" si="5"/>
        <v>497047</v>
      </c>
      <c r="L20" s="23">
        <f t="shared" si="5"/>
        <v>501517</v>
      </c>
      <c r="M20" s="23">
        <f t="shared" si="5"/>
        <v>501517</v>
      </c>
      <c r="N20" s="23">
        <f t="shared" si="5"/>
        <v>501517</v>
      </c>
      <c r="Q20" s="23">
        <f t="shared" ref="Q20:V20" si="6">SUM(Q18:Q19)</f>
        <v>512767</v>
      </c>
      <c r="R20" s="23">
        <f t="shared" si="6"/>
        <v>512767</v>
      </c>
      <c r="S20" s="23">
        <f t="shared" si="6"/>
        <v>531519</v>
      </c>
      <c r="T20" s="23">
        <f t="shared" si="6"/>
        <v>531519</v>
      </c>
      <c r="U20" s="23">
        <f t="shared" si="6"/>
        <v>531519</v>
      </c>
      <c r="V20" s="23">
        <f t="shared" si="6"/>
        <v>531519</v>
      </c>
      <c r="W20" s="23">
        <f t="shared" ref="W20:AB20" si="7">SUM(W18:W19)</f>
        <v>0</v>
      </c>
      <c r="X20" s="23">
        <f t="shared" si="7"/>
        <v>0</v>
      </c>
      <c r="Y20" s="23">
        <f t="shared" si="7"/>
        <v>0</v>
      </c>
      <c r="Z20" s="23">
        <f t="shared" si="7"/>
        <v>0</v>
      </c>
      <c r="AA20" s="23">
        <f t="shared" si="7"/>
        <v>0</v>
      </c>
      <c r="AB20" s="23">
        <f t="shared" si="7"/>
        <v>0</v>
      </c>
      <c r="AE20" s="23">
        <f t="shared" ref="AE20:AJ20" si="8">SUM(AE18:AE19)</f>
        <v>0</v>
      </c>
      <c r="AF20" s="23">
        <f t="shared" si="8"/>
        <v>0</v>
      </c>
      <c r="AG20" s="23">
        <f t="shared" si="8"/>
        <v>0</v>
      </c>
      <c r="AH20" s="23">
        <f t="shared" si="8"/>
        <v>0</v>
      </c>
      <c r="AI20" s="23">
        <f t="shared" si="8"/>
        <v>0</v>
      </c>
      <c r="AJ20" s="23">
        <f t="shared" si="8"/>
        <v>0</v>
      </c>
      <c r="AK20" s="23">
        <f t="shared" ref="AK20:AP20" si="9">SUM(AK18:AK19)</f>
        <v>0</v>
      </c>
      <c r="AL20" s="23">
        <f t="shared" si="9"/>
        <v>0</v>
      </c>
      <c r="AM20" s="23">
        <f t="shared" si="9"/>
        <v>0</v>
      </c>
      <c r="AN20" s="23">
        <f t="shared" si="9"/>
        <v>0</v>
      </c>
      <c r="AO20" s="23">
        <f t="shared" si="9"/>
        <v>0</v>
      </c>
      <c r="AP20" s="23">
        <f t="shared" si="9"/>
        <v>0</v>
      </c>
    </row>
    <row r="21" spans="1:42" x14ac:dyDescent="0.15">
      <c r="A21" t="s">
        <v>66</v>
      </c>
      <c r="C21" s="24">
        <f>+'BS Actual &amp; Forecast'!C21</f>
        <v>-150000</v>
      </c>
      <c r="D21" s="24">
        <f>+'BS Actual &amp; Forecast'!D21</f>
        <v>-155475</v>
      </c>
      <c r="E21" s="24">
        <f>+'BS Actual &amp; Forecast'!E21</f>
        <v>-160950</v>
      </c>
      <c r="F21" s="24">
        <f>+'BS Actual &amp; Forecast'!F21</f>
        <v>-166425</v>
      </c>
      <c r="G21" s="24">
        <f>+'BS Actual &amp; Forecast'!G21</f>
        <v>-171900</v>
      </c>
      <c r="H21" s="24">
        <f>+'BS Actual &amp; Forecast'!H21</f>
        <v>-177375</v>
      </c>
      <c r="I21" s="24">
        <f>+'BS Actual &amp; Forecast'!I21</f>
        <v>-182850</v>
      </c>
      <c r="J21" s="24">
        <f>+'BS Actual &amp; Forecast'!J21</f>
        <v>-188325</v>
      </c>
      <c r="K21" s="24">
        <f>+'BS Actual &amp; Forecast'!K21</f>
        <v>-193800</v>
      </c>
      <c r="L21" s="24">
        <f>+'BS Actual &amp; Forecast'!L21</f>
        <v>-199275</v>
      </c>
      <c r="M21" s="24">
        <f>+'BS Actual &amp; Forecast'!M21</f>
        <v>-204750</v>
      </c>
      <c r="N21" s="24">
        <f>+'BS Actual &amp; Forecast'!N21</f>
        <v>-215100</v>
      </c>
      <c r="Q21" s="24">
        <f>+'BS Actual &amp; Forecast'!Q21</f>
        <v>-220950</v>
      </c>
      <c r="R21" s="24">
        <f>+'BS Actual &amp; Forecast'!R21</f>
        <v>-226800</v>
      </c>
      <c r="S21" s="24">
        <f>+'BS Actual &amp; Forecast'!S21</f>
        <v>-232650</v>
      </c>
      <c r="T21" s="24">
        <f>+'BS Actual &amp; Forecast'!T21</f>
        <v>-238500</v>
      </c>
      <c r="U21" s="24">
        <f>+'BS Actual &amp; Forecast'!U21</f>
        <v>-244350</v>
      </c>
      <c r="V21" s="24">
        <f>+'BS Actual &amp; Forecast'!V21</f>
        <v>-250200</v>
      </c>
      <c r="W21" s="24"/>
      <c r="X21" s="24"/>
      <c r="Y21" s="24"/>
      <c r="Z21" s="24"/>
      <c r="AA21" s="24"/>
      <c r="AB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</row>
    <row r="22" spans="1:42" x14ac:dyDescent="0.15">
      <c r="A22" t="s">
        <v>67</v>
      </c>
      <c r="C22" s="23">
        <f>SUM(C20:C21)</f>
        <v>303923</v>
      </c>
      <c r="D22" s="23">
        <f t="shared" ref="D22:N22" si="10">SUM(D20:D21)</f>
        <v>298448</v>
      </c>
      <c r="E22" s="23">
        <f t="shared" si="10"/>
        <v>308518</v>
      </c>
      <c r="F22" s="23">
        <f t="shared" si="10"/>
        <v>303043</v>
      </c>
      <c r="G22" s="23">
        <f t="shared" si="10"/>
        <v>301158</v>
      </c>
      <c r="H22" s="23">
        <f t="shared" si="10"/>
        <v>295683</v>
      </c>
      <c r="I22" s="23">
        <f t="shared" si="10"/>
        <v>290208</v>
      </c>
      <c r="J22" s="23">
        <f t="shared" si="10"/>
        <v>308722</v>
      </c>
      <c r="K22" s="23">
        <f t="shared" si="10"/>
        <v>303247</v>
      </c>
      <c r="L22" s="23">
        <f t="shared" si="10"/>
        <v>302242</v>
      </c>
      <c r="M22" s="23">
        <f t="shared" si="10"/>
        <v>296767</v>
      </c>
      <c r="N22" s="23">
        <f t="shared" si="10"/>
        <v>286417</v>
      </c>
      <c r="Q22" s="23">
        <f t="shared" ref="Q22:V22" si="11">SUM(Q20:Q21)</f>
        <v>291817</v>
      </c>
      <c r="R22" s="23">
        <f t="shared" si="11"/>
        <v>285967</v>
      </c>
      <c r="S22" s="23">
        <f t="shared" si="11"/>
        <v>298869</v>
      </c>
      <c r="T22" s="23">
        <f t="shared" si="11"/>
        <v>293019</v>
      </c>
      <c r="U22" s="23">
        <f t="shared" si="11"/>
        <v>287169</v>
      </c>
      <c r="V22" s="23">
        <f t="shared" si="11"/>
        <v>281319</v>
      </c>
      <c r="W22" s="23">
        <f t="shared" ref="W22:AB22" si="12">SUM(W20:W21)</f>
        <v>0</v>
      </c>
      <c r="X22" s="23">
        <f t="shared" si="12"/>
        <v>0</v>
      </c>
      <c r="Y22" s="23">
        <f t="shared" si="12"/>
        <v>0</v>
      </c>
      <c r="Z22" s="23">
        <f t="shared" si="12"/>
        <v>0</v>
      </c>
      <c r="AA22" s="23">
        <f t="shared" si="12"/>
        <v>0</v>
      </c>
      <c r="AB22" s="23">
        <f t="shared" si="12"/>
        <v>0</v>
      </c>
      <c r="AE22" s="23">
        <f t="shared" ref="AE22:AJ22" si="13">SUM(AE20:AE21)</f>
        <v>0</v>
      </c>
      <c r="AF22" s="23">
        <f t="shared" si="13"/>
        <v>0</v>
      </c>
      <c r="AG22" s="23">
        <f t="shared" si="13"/>
        <v>0</v>
      </c>
      <c r="AH22" s="23">
        <f t="shared" si="13"/>
        <v>0</v>
      </c>
      <c r="AI22" s="23">
        <f t="shared" si="13"/>
        <v>0</v>
      </c>
      <c r="AJ22" s="23">
        <f t="shared" si="13"/>
        <v>0</v>
      </c>
      <c r="AK22" s="23">
        <f t="shared" ref="AK22:AP22" si="14">SUM(AK20:AK21)</f>
        <v>0</v>
      </c>
      <c r="AL22" s="23">
        <f t="shared" si="14"/>
        <v>0</v>
      </c>
      <c r="AM22" s="23">
        <f t="shared" si="14"/>
        <v>0</v>
      </c>
      <c r="AN22" s="23">
        <f t="shared" si="14"/>
        <v>0</v>
      </c>
      <c r="AO22" s="23">
        <f t="shared" si="14"/>
        <v>0</v>
      </c>
      <c r="AP22" s="23">
        <f t="shared" si="14"/>
        <v>0</v>
      </c>
    </row>
    <row r="23" spans="1:42" x14ac:dyDescent="0.15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</row>
    <row r="24" spans="1:42" x14ac:dyDescent="0.15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</row>
    <row r="25" spans="1:42" ht="14" thickBot="1" x14ac:dyDescent="0.2">
      <c r="A25" t="s">
        <v>68</v>
      </c>
      <c r="C25" s="32">
        <f>C15+C22</f>
        <v>4791215.5250000004</v>
      </c>
      <c r="D25" s="32">
        <f t="shared" ref="D25:N25" si="15">D15+D22</f>
        <v>4903644.9348542057</v>
      </c>
      <c r="E25" s="32">
        <f t="shared" si="15"/>
        <v>4991173.5706795501</v>
      </c>
      <c r="F25" s="32">
        <f t="shared" si="15"/>
        <v>4708286.1443770714</v>
      </c>
      <c r="G25" s="32">
        <f t="shared" si="15"/>
        <v>4855037.7541686418</v>
      </c>
      <c r="H25" s="32">
        <f t="shared" si="15"/>
        <v>5110266.5093754418</v>
      </c>
      <c r="I25" s="32">
        <f t="shared" si="15"/>
        <v>5147357.3807233907</v>
      </c>
      <c r="J25" s="32">
        <f t="shared" si="15"/>
        <v>5654523.9673839612</v>
      </c>
      <c r="K25" s="32">
        <f t="shared" si="15"/>
        <v>5346764.5620257417</v>
      </c>
      <c r="L25" s="32">
        <f t="shared" si="15"/>
        <v>5131216.5170820719</v>
      </c>
      <c r="M25" s="32">
        <f t="shared" si="15"/>
        <v>5086909.1834772993</v>
      </c>
      <c r="N25" s="32">
        <f t="shared" si="15"/>
        <v>4484358.6227581352</v>
      </c>
      <c r="Q25" s="32">
        <f t="shared" ref="Q25:V25" si="16">Q15+Q22</f>
        <v>4592220.8936920324</v>
      </c>
      <c r="R25" s="32">
        <f t="shared" si="16"/>
        <v>5057759.6356101735</v>
      </c>
      <c r="S25" s="32">
        <f t="shared" si="16"/>
        <v>5295743.5897142589</v>
      </c>
      <c r="T25" s="32">
        <f t="shared" si="16"/>
        <v>5025553.4286454972</v>
      </c>
      <c r="U25" s="32">
        <f t="shared" si="16"/>
        <v>4846906.6367863342</v>
      </c>
      <c r="V25" s="32">
        <f t="shared" si="16"/>
        <v>4482602.985875817</v>
      </c>
      <c r="W25" s="32">
        <f t="shared" ref="W25:AB25" si="17">W15+W22</f>
        <v>0</v>
      </c>
      <c r="X25" s="32">
        <f t="shared" si="17"/>
        <v>0</v>
      </c>
      <c r="Y25" s="32">
        <f t="shared" si="17"/>
        <v>0</v>
      </c>
      <c r="Z25" s="32">
        <f t="shared" si="17"/>
        <v>0</v>
      </c>
      <c r="AA25" s="32">
        <f t="shared" si="17"/>
        <v>0</v>
      </c>
      <c r="AB25" s="32">
        <f t="shared" si="17"/>
        <v>0</v>
      </c>
      <c r="AE25" s="32">
        <f t="shared" ref="AE25:AJ25" si="18">AE15+AE22</f>
        <v>0</v>
      </c>
      <c r="AF25" s="32">
        <f t="shared" si="18"/>
        <v>0</v>
      </c>
      <c r="AG25" s="32">
        <f t="shared" si="18"/>
        <v>0</v>
      </c>
      <c r="AH25" s="32">
        <f t="shared" si="18"/>
        <v>0</v>
      </c>
      <c r="AI25" s="32">
        <f t="shared" si="18"/>
        <v>0</v>
      </c>
      <c r="AJ25" s="32">
        <f t="shared" si="18"/>
        <v>0</v>
      </c>
      <c r="AK25" s="32">
        <f t="shared" ref="AK25:AP25" si="19">AK15+AK22</f>
        <v>0</v>
      </c>
      <c r="AL25" s="32">
        <f t="shared" si="19"/>
        <v>0</v>
      </c>
      <c r="AM25" s="32">
        <f t="shared" si="19"/>
        <v>0</v>
      </c>
      <c r="AN25" s="32">
        <f t="shared" si="19"/>
        <v>0</v>
      </c>
      <c r="AO25" s="32">
        <f t="shared" si="19"/>
        <v>0</v>
      </c>
      <c r="AP25" s="32">
        <f t="shared" si="19"/>
        <v>0</v>
      </c>
    </row>
    <row r="26" spans="1:42" ht="14" thickTop="1" x14ac:dyDescent="0.1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Q26" s="23"/>
      <c r="R26" s="23"/>
      <c r="S26" s="23"/>
      <c r="T26" s="23"/>
      <c r="U26" s="23"/>
      <c r="V26" s="23"/>
    </row>
    <row r="27" spans="1:42" x14ac:dyDescent="0.15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Q27" s="23"/>
      <c r="R27" s="23"/>
      <c r="S27" s="23"/>
      <c r="T27" s="23"/>
      <c r="U27" s="23"/>
      <c r="V27" s="23"/>
    </row>
    <row r="28" spans="1:42" x14ac:dyDescent="0.15">
      <c r="A28" s="25" t="s">
        <v>78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Q28" s="23"/>
      <c r="R28" s="23"/>
      <c r="S28" s="23"/>
      <c r="T28" s="23"/>
      <c r="U28" s="23"/>
      <c r="V28" s="23"/>
    </row>
    <row r="29" spans="1:42" x14ac:dyDescent="0.15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Q29" s="23"/>
      <c r="R29" s="23"/>
      <c r="S29" s="23"/>
      <c r="T29" s="23"/>
      <c r="U29" s="23"/>
      <c r="V29" s="23"/>
    </row>
    <row r="30" spans="1:42" x14ac:dyDescent="0.15">
      <c r="A30" s="16" t="s">
        <v>69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Q30" s="23"/>
      <c r="R30" s="23"/>
      <c r="S30" s="23"/>
      <c r="T30" s="23"/>
      <c r="U30" s="23"/>
      <c r="V30" s="23"/>
    </row>
    <row r="31" spans="1:42" x14ac:dyDescent="0.15">
      <c r="A31" t="s">
        <v>70</v>
      </c>
      <c r="C31" s="31">
        <f>+'BS Actual &amp; Forecast'!C31</f>
        <v>1684389</v>
      </c>
      <c r="D31" s="31">
        <f>+'BS Actual &amp; Forecast'!D31</f>
        <v>1813866.5656542056</v>
      </c>
      <c r="E31" s="31">
        <f>+'BS Actual &amp; Forecast'!E31</f>
        <v>1878845.4132686919</v>
      </c>
      <c r="F31" s="31">
        <f>+'BS Actual &amp; Forecast'!F31</f>
        <v>1508053.3428971558</v>
      </c>
      <c r="G31" s="31">
        <f>+'BS Actual &amp; Forecast'!G31</f>
        <v>1704330.9213585944</v>
      </c>
      <c r="H31" s="31">
        <f>+'BS Actual &amp; Forecast'!H31</f>
        <v>1863696.9295895279</v>
      </c>
      <c r="I31" s="31">
        <f>+'BS Actual &amp; Forecast'!I31</f>
        <v>1753690.1155745639</v>
      </c>
      <c r="J31" s="31">
        <f>+'BS Actual &amp; Forecast'!J31</f>
        <v>2147524.7755377875</v>
      </c>
      <c r="K31" s="31">
        <f>+'BS Actual &amp; Forecast'!K31</f>
        <v>1841185.3742185177</v>
      </c>
      <c r="L31" s="31">
        <f>+'BS Actual &amp; Forecast'!L31</f>
        <v>1668122.6544101767</v>
      </c>
      <c r="M31" s="31">
        <f>+'BS Actual &amp; Forecast'!M31</f>
        <v>1539230.9728466806</v>
      </c>
      <c r="N31" s="31">
        <f>+'BS Actual &amp; Forecast'!N31</f>
        <v>1266001.3738253806</v>
      </c>
      <c r="Q31" s="31">
        <f>+'BS Actual &amp; Forecast'!Q31</f>
        <v>1341438.3738253806</v>
      </c>
      <c r="R31" s="31">
        <f>+'BS Actual &amp; Forecast'!R31</f>
        <v>1610436.3738253806</v>
      </c>
      <c r="S31" s="31">
        <f>+'BS Actual &amp; Forecast'!S31</f>
        <v>1777769.3738253806</v>
      </c>
      <c r="T31" s="31">
        <f>+'BS Actual &amp; Forecast'!T31</f>
        <v>1622103.5751470202</v>
      </c>
      <c r="U31" s="31">
        <f>+'BS Actual &amp; Forecast'!U31</f>
        <v>1496818.396493176</v>
      </c>
      <c r="V31" s="31">
        <f>+'BS Actual &amp; Forecast'!V31</f>
        <v>1244285.4202231565</v>
      </c>
      <c r="W31" s="31"/>
      <c r="X31" s="31"/>
      <c r="Y31" s="31"/>
      <c r="Z31" s="31"/>
      <c r="AA31" s="31"/>
      <c r="AB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</row>
    <row r="32" spans="1:42" x14ac:dyDescent="0.15">
      <c r="A32" t="s">
        <v>116</v>
      </c>
      <c r="C32" s="35">
        <f>+'BS Actual &amp; Forecast'!C32</f>
        <v>478250</v>
      </c>
      <c r="D32" s="35">
        <f>+'BS Actual &amp; Forecast'!D32</f>
        <v>468250</v>
      </c>
      <c r="E32" s="35">
        <f>+'BS Actual &amp; Forecast'!E32</f>
        <v>458250</v>
      </c>
      <c r="F32" s="35">
        <f>+'BS Actual &amp; Forecast'!F32</f>
        <v>448250</v>
      </c>
      <c r="G32" s="35">
        <f>+'BS Actual &amp; Forecast'!G32</f>
        <v>438250</v>
      </c>
      <c r="H32" s="35">
        <f>+'BS Actual &amp; Forecast'!H32</f>
        <v>428250</v>
      </c>
      <c r="I32" s="35">
        <f>+'BS Actual &amp; Forecast'!I32</f>
        <v>418250</v>
      </c>
      <c r="J32" s="35">
        <f>+'BS Actual &amp; Forecast'!J32</f>
        <v>408250</v>
      </c>
      <c r="K32" s="35">
        <f>+'BS Actual &amp; Forecast'!K32</f>
        <v>398250</v>
      </c>
      <c r="L32" s="35">
        <f>+'BS Actual &amp; Forecast'!L32</f>
        <v>388250</v>
      </c>
      <c r="M32" s="35">
        <f>+'BS Actual &amp; Forecast'!M32</f>
        <v>378250</v>
      </c>
      <c r="N32" s="35">
        <f>+'BS Actual &amp; Forecast'!N32</f>
        <v>368250</v>
      </c>
      <c r="Q32" s="35">
        <f>+'BS Actual &amp; Forecast'!Q32</f>
        <v>358250</v>
      </c>
      <c r="R32" s="35">
        <f>+'BS Actual &amp; Forecast'!R32</f>
        <v>348250</v>
      </c>
      <c r="S32" s="35">
        <f>+'BS Actual &amp; Forecast'!S32</f>
        <v>338250</v>
      </c>
      <c r="T32" s="35">
        <f>+'BS Actual &amp; Forecast'!T32</f>
        <v>328250</v>
      </c>
      <c r="U32" s="35">
        <f>+'BS Actual &amp; Forecast'!U32</f>
        <v>318250</v>
      </c>
      <c r="V32" s="35">
        <f>+'BS Actual &amp; Forecast'!V32</f>
        <v>308250</v>
      </c>
      <c r="W32" s="31"/>
      <c r="X32" s="31"/>
      <c r="Y32" s="31"/>
      <c r="Z32" s="31"/>
      <c r="AA32" s="31"/>
      <c r="AB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</row>
    <row r="33" spans="1:42" x14ac:dyDescent="0.15">
      <c r="A33" t="s">
        <v>118</v>
      </c>
      <c r="C33" s="24">
        <f>+'BS Actual &amp; Forecast'!C33</f>
        <v>679321</v>
      </c>
      <c r="D33" s="24">
        <f>+'BS Actual &amp; Forecast'!D33</f>
        <v>577422.85</v>
      </c>
      <c r="E33" s="24">
        <f>+'BS Actual &amp; Forecast'!E33</f>
        <v>560100.16449999996</v>
      </c>
      <c r="F33" s="24">
        <f>+'BS Actual &amp; Forecast'!F33</f>
        <v>672120.19739999995</v>
      </c>
      <c r="G33" s="24">
        <f>+'BS Actual &amp; Forecast'!G33</f>
        <v>604908.17765999993</v>
      </c>
      <c r="H33" s="24">
        <f>+'BS Actual &amp; Forecast'!H33</f>
        <v>623055.42298979999</v>
      </c>
      <c r="I33" s="24">
        <f>+'BS Actual &amp; Forecast'!I33</f>
        <v>685360.96528878005</v>
      </c>
      <c r="J33" s="24">
        <f>+'BS Actual &amp; Forecast'!J33</f>
        <v>705921.79424744344</v>
      </c>
      <c r="K33" s="24">
        <f>+'BS Actual &amp; Forecast'!K33</f>
        <v>649448.05070764804</v>
      </c>
      <c r="L33" s="24">
        <f>+'BS Actual &amp; Forecast'!L33</f>
        <v>636459.08969349507</v>
      </c>
      <c r="M33" s="24">
        <f>+'BS Actual &amp; Forecast'!M33</f>
        <v>700104.99866284465</v>
      </c>
      <c r="N33" s="24">
        <f>+'BS Actual &amp; Forecast'!N33</f>
        <v>721108.14862273005</v>
      </c>
      <c r="Q33" s="24">
        <f>+'BS Actual &amp; Forecast'!Q33</f>
        <v>742741.39308141195</v>
      </c>
      <c r="R33" s="24">
        <f>+'BS Actual &amp; Forecast'!R33</f>
        <v>817015.53238955326</v>
      </c>
      <c r="S33" s="24">
        <f>+'BS Actual &amp; Forecast'!S33</f>
        <v>841525.99836123991</v>
      </c>
      <c r="T33" s="24">
        <f>+'BS Actual &amp; Forecast'!T33</f>
        <v>774203.91849234072</v>
      </c>
      <c r="U33" s="24">
        <f>+'BS Actual &amp; Forecast'!U33</f>
        <v>758719.84012249392</v>
      </c>
      <c r="V33" s="24">
        <f>+'BS Actual &amp; Forecast'!V33</f>
        <v>720783.84811636922</v>
      </c>
      <c r="W33" s="24"/>
      <c r="X33" s="24"/>
      <c r="Y33" s="24"/>
      <c r="Z33" s="24"/>
      <c r="AA33" s="24"/>
      <c r="AB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</row>
    <row r="34" spans="1:42" x14ac:dyDescent="0.15">
      <c r="A34" t="s">
        <v>71</v>
      </c>
      <c r="C34" s="23">
        <f>SUM(C31:C33)</f>
        <v>2841960</v>
      </c>
      <c r="D34" s="23">
        <f t="shared" ref="D34:N34" si="20">SUM(D31:D33)</f>
        <v>2859539.4156542057</v>
      </c>
      <c r="E34" s="23">
        <f t="shared" si="20"/>
        <v>2897195.5777686918</v>
      </c>
      <c r="F34" s="23">
        <f t="shared" si="20"/>
        <v>2628423.5402971557</v>
      </c>
      <c r="G34" s="23">
        <f t="shared" si="20"/>
        <v>2747489.0990185947</v>
      </c>
      <c r="H34" s="23">
        <f t="shared" si="20"/>
        <v>2915002.3525793278</v>
      </c>
      <c r="I34" s="23">
        <f t="shared" si="20"/>
        <v>2857301.080863344</v>
      </c>
      <c r="J34" s="23">
        <f t="shared" si="20"/>
        <v>3261696.5697852308</v>
      </c>
      <c r="K34" s="23">
        <f t="shared" si="20"/>
        <v>2888883.424926166</v>
      </c>
      <c r="L34" s="23">
        <f t="shared" si="20"/>
        <v>2692831.744103672</v>
      </c>
      <c r="M34" s="23">
        <f t="shared" si="20"/>
        <v>2617585.9715095251</v>
      </c>
      <c r="N34" s="23">
        <f t="shared" si="20"/>
        <v>2355359.5224481104</v>
      </c>
      <c r="Q34" s="23">
        <f t="shared" ref="Q34:V34" si="21">SUM(Q31:Q33)</f>
        <v>2442429.7669067923</v>
      </c>
      <c r="R34" s="23">
        <f t="shared" si="21"/>
        <v>2775701.9062149338</v>
      </c>
      <c r="S34" s="23">
        <f t="shared" si="21"/>
        <v>2957545.3721866207</v>
      </c>
      <c r="T34" s="23">
        <f t="shared" si="21"/>
        <v>2724557.4936393611</v>
      </c>
      <c r="U34" s="23">
        <f t="shared" si="21"/>
        <v>2573788.2366156699</v>
      </c>
      <c r="V34" s="23">
        <f t="shared" si="21"/>
        <v>2273319.2683395259</v>
      </c>
      <c r="W34" s="23">
        <f t="shared" ref="W34" si="22">SUM(W31:W33)</f>
        <v>0</v>
      </c>
      <c r="X34" s="23">
        <f>SUM(X31:X33)</f>
        <v>0</v>
      </c>
      <c r="Y34" s="23">
        <f>SUM(Y31:Y33)</f>
        <v>0</v>
      </c>
      <c r="Z34" s="23">
        <f>SUM(Z31:Z33)</f>
        <v>0</v>
      </c>
      <c r="AA34" s="23">
        <f>SUM(AA31:AA33)</f>
        <v>0</v>
      </c>
      <c r="AB34" s="23">
        <f>SUM(AB31:AB33)</f>
        <v>0</v>
      </c>
      <c r="AE34" s="23">
        <f t="shared" ref="AE34:AJ34" si="23">SUM(AE31:AE33)</f>
        <v>0</v>
      </c>
      <c r="AF34" s="23">
        <f t="shared" si="23"/>
        <v>0</v>
      </c>
      <c r="AG34" s="23">
        <f t="shared" si="23"/>
        <v>0</v>
      </c>
      <c r="AH34" s="23">
        <f t="shared" si="23"/>
        <v>0</v>
      </c>
      <c r="AI34" s="23">
        <f t="shared" si="23"/>
        <v>0</v>
      </c>
      <c r="AJ34" s="23">
        <f t="shared" si="23"/>
        <v>0</v>
      </c>
      <c r="AK34" s="23">
        <f t="shared" ref="AK34:AP34" si="24">SUM(AK31:AK33)</f>
        <v>0</v>
      </c>
      <c r="AL34" s="23">
        <f t="shared" si="24"/>
        <v>0</v>
      </c>
      <c r="AM34" s="23">
        <f t="shared" si="24"/>
        <v>0</v>
      </c>
      <c r="AN34" s="23">
        <f t="shared" si="24"/>
        <v>0</v>
      </c>
      <c r="AO34" s="23">
        <f t="shared" si="24"/>
        <v>0</v>
      </c>
      <c r="AP34" s="23">
        <f t="shared" si="24"/>
        <v>0</v>
      </c>
    </row>
    <row r="35" spans="1:42" x14ac:dyDescent="0.1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</row>
    <row r="36" spans="1:42" x14ac:dyDescent="0.15">
      <c r="A36" s="16" t="s">
        <v>72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</row>
    <row r="37" spans="1:42" x14ac:dyDescent="0.15">
      <c r="A37" t="s">
        <v>73</v>
      </c>
      <c r="C37" s="35">
        <f>+'BS Actual &amp; Forecast'!C37</f>
        <v>1169245</v>
      </c>
      <c r="D37" s="35">
        <f>+'BS Actual &amp; Forecast'!D37</f>
        <v>1164245</v>
      </c>
      <c r="E37" s="35">
        <f>+'BS Actual &amp; Forecast'!E37</f>
        <v>1159245</v>
      </c>
      <c r="F37" s="35">
        <f>+'BS Actual &amp; Forecast'!F37</f>
        <v>1154245</v>
      </c>
      <c r="G37" s="35">
        <f>+'BS Actual &amp; Forecast'!G37</f>
        <v>1149245</v>
      </c>
      <c r="H37" s="35">
        <f>+'BS Actual &amp; Forecast'!H37</f>
        <v>1144245</v>
      </c>
      <c r="I37" s="35">
        <f>+'BS Actual &amp; Forecast'!I37</f>
        <v>1139245</v>
      </c>
      <c r="J37" s="35">
        <f>+'BS Actual &amp; Forecast'!J37</f>
        <v>1134245</v>
      </c>
      <c r="K37" s="35">
        <f>+'BS Actual &amp; Forecast'!K37</f>
        <v>1129245</v>
      </c>
      <c r="L37" s="35">
        <f>+'BS Actual &amp; Forecast'!L37</f>
        <v>1124245</v>
      </c>
      <c r="M37" s="35">
        <f>+'BS Actual &amp; Forecast'!M37</f>
        <v>1119245</v>
      </c>
      <c r="N37" s="35">
        <f>+'BS Actual &amp; Forecast'!N37</f>
        <v>1114245</v>
      </c>
      <c r="Q37" s="35">
        <f>+'BS Actual &amp; Forecast'!Q37</f>
        <v>1109245</v>
      </c>
      <c r="R37" s="35">
        <f>+'BS Actual &amp; Forecast'!R37</f>
        <v>1104245</v>
      </c>
      <c r="S37" s="35">
        <f>+'BS Actual &amp; Forecast'!S37</f>
        <v>1099245</v>
      </c>
      <c r="T37" s="35">
        <f>+'BS Actual &amp; Forecast'!T37</f>
        <v>1094245</v>
      </c>
      <c r="U37" s="35">
        <f>+'BS Actual &amp; Forecast'!U37</f>
        <v>1089245</v>
      </c>
      <c r="V37" s="35">
        <f>+'BS Actual &amp; Forecast'!V37</f>
        <v>1084245</v>
      </c>
      <c r="W37" s="35"/>
      <c r="X37" s="35"/>
      <c r="Y37" s="35"/>
      <c r="Z37" s="35"/>
      <c r="AA37" s="35"/>
      <c r="AB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</row>
    <row r="38" spans="1:42" x14ac:dyDescent="0.15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Q38" s="23"/>
      <c r="R38" s="23"/>
      <c r="S38" s="23"/>
      <c r="T38" s="23"/>
      <c r="U38" s="23"/>
      <c r="V38" s="23"/>
    </row>
    <row r="39" spans="1:42" x14ac:dyDescent="0.15">
      <c r="A39" s="16" t="s">
        <v>74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Q39" s="23"/>
      <c r="R39" s="23"/>
      <c r="S39" s="23"/>
      <c r="T39" s="23"/>
      <c r="U39" s="23"/>
      <c r="V39" s="23"/>
    </row>
    <row r="40" spans="1:42" x14ac:dyDescent="0.15">
      <c r="A40" s="26" t="s">
        <v>87</v>
      </c>
      <c r="C40" s="35">
        <f>+'BS Actual &amp; Forecast'!C40</f>
        <v>500000</v>
      </c>
      <c r="D40" s="35">
        <f>+'BS Actual &amp; Forecast'!D40</f>
        <v>500000</v>
      </c>
      <c r="E40" s="35">
        <f>+'BS Actual &amp; Forecast'!E40</f>
        <v>500000</v>
      </c>
      <c r="F40" s="35">
        <f>+'BS Actual &amp; Forecast'!F40</f>
        <v>500000</v>
      </c>
      <c r="G40" s="35">
        <f>+'BS Actual &amp; Forecast'!G40</f>
        <v>500000</v>
      </c>
      <c r="H40" s="35">
        <f>+'BS Actual &amp; Forecast'!H40</f>
        <v>500000</v>
      </c>
      <c r="I40" s="35">
        <f>+'BS Actual &amp; Forecast'!I40</f>
        <v>500000</v>
      </c>
      <c r="J40" s="35">
        <f>+'BS Actual &amp; Forecast'!J40</f>
        <v>500000</v>
      </c>
      <c r="K40" s="35">
        <f>+'BS Actual &amp; Forecast'!K40</f>
        <v>500000</v>
      </c>
      <c r="L40" s="35">
        <f>+'BS Actual &amp; Forecast'!L40</f>
        <v>500000</v>
      </c>
      <c r="M40" s="35">
        <f>+'BS Actual &amp; Forecast'!M40</f>
        <v>500000</v>
      </c>
      <c r="N40" s="35">
        <f>+'BS Actual &amp; Forecast'!N40</f>
        <v>500000</v>
      </c>
      <c r="Q40" s="35">
        <f>+'BS Actual &amp; Forecast'!Q40</f>
        <v>500000</v>
      </c>
      <c r="R40" s="35">
        <f>+'BS Actual &amp; Forecast'!R40</f>
        <v>500000</v>
      </c>
      <c r="S40" s="35">
        <f>+'BS Actual &amp; Forecast'!S40</f>
        <v>500000</v>
      </c>
      <c r="T40" s="35">
        <f>+'BS Actual &amp; Forecast'!T40</f>
        <v>500000</v>
      </c>
      <c r="U40" s="35">
        <f>+'BS Actual &amp; Forecast'!U40</f>
        <v>500000</v>
      </c>
      <c r="V40" s="35">
        <f>+'BS Actual &amp; Forecast'!V40</f>
        <v>500000</v>
      </c>
      <c r="W40" s="23"/>
      <c r="X40" s="23"/>
      <c r="Y40" s="23"/>
      <c r="Z40" s="23"/>
      <c r="AA40" s="23"/>
      <c r="AB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</row>
    <row r="41" spans="1:42" x14ac:dyDescent="0.15">
      <c r="A41" s="26" t="s">
        <v>96</v>
      </c>
      <c r="C41" s="35">
        <f>+'BS Actual &amp; Forecast'!C41</f>
        <v>-570000</v>
      </c>
      <c r="D41" s="35">
        <f>+'BS Actual &amp; Forecast'!D41</f>
        <v>-645000</v>
      </c>
      <c r="E41" s="35">
        <f>+'BS Actual &amp; Forecast'!E41</f>
        <v>-720000</v>
      </c>
      <c r="F41" s="35">
        <f>+'BS Actual &amp; Forecast'!F41</f>
        <v>-795000</v>
      </c>
      <c r="G41" s="35">
        <f>+'BS Actual &amp; Forecast'!G41</f>
        <v>-870000</v>
      </c>
      <c r="H41" s="35">
        <f>+'BS Actual &amp; Forecast'!H41</f>
        <v>-945000</v>
      </c>
      <c r="I41" s="35">
        <f>+'BS Actual &amp; Forecast'!I41</f>
        <v>-1020000</v>
      </c>
      <c r="J41" s="35">
        <f>+'BS Actual &amp; Forecast'!J41</f>
        <v>-1095000</v>
      </c>
      <c r="K41" s="35">
        <f>+'BS Actual &amp; Forecast'!K41</f>
        <v>-1170000</v>
      </c>
      <c r="L41" s="35">
        <f>+'BS Actual &amp; Forecast'!L41</f>
        <v>-1245000</v>
      </c>
      <c r="M41" s="35">
        <f>+'BS Actual &amp; Forecast'!M41</f>
        <v>-1320000</v>
      </c>
      <c r="N41" s="35">
        <f>+'BS Actual &amp; Forecast'!N41</f>
        <v>-1720000</v>
      </c>
      <c r="Q41" s="35">
        <f>+'BS Actual &amp; Forecast'!Q41</f>
        <v>-1820000</v>
      </c>
      <c r="R41" s="35">
        <f>+'BS Actual &amp; Forecast'!R41</f>
        <v>-1920000</v>
      </c>
      <c r="S41" s="35">
        <f>+'BS Actual &amp; Forecast'!S41</f>
        <v>-2020000</v>
      </c>
      <c r="T41" s="35">
        <f>+'BS Actual &amp; Forecast'!T41</f>
        <v>-2120000</v>
      </c>
      <c r="U41" s="35">
        <f>+'BS Actual &amp; Forecast'!U41</f>
        <v>-2220000</v>
      </c>
      <c r="V41" s="35">
        <f>+'BS Actual &amp; Forecast'!V41</f>
        <v>-2320000</v>
      </c>
      <c r="W41" s="23"/>
      <c r="X41" s="23"/>
      <c r="Y41" s="23"/>
      <c r="Z41" s="23"/>
      <c r="AA41" s="23"/>
      <c r="AB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</row>
    <row r="42" spans="1:42" x14ac:dyDescent="0.15">
      <c r="A42" s="26" t="s">
        <v>75</v>
      </c>
      <c r="C42" s="24">
        <f>+'BS Actual &amp; Forecast'!C42</f>
        <v>850011</v>
      </c>
      <c r="D42" s="24">
        <f>+'BS Actual &amp; Forecast'!D42</f>
        <v>1024860.9942000002</v>
      </c>
      <c r="E42" s="24">
        <f>+'BS Actual &amp; Forecast'!E42</f>
        <v>1154733.4679108574</v>
      </c>
      <c r="F42" s="24">
        <f>+'BS Actual &amp; Forecast'!F42</f>
        <v>1220618.079079916</v>
      </c>
      <c r="G42" s="24">
        <f>+'BS Actual &amp; Forecast'!G42</f>
        <v>1328304.1301500474</v>
      </c>
      <c r="H42" s="24">
        <f>+'BS Actual &amp; Forecast'!H42</f>
        <v>1496019.6317961139</v>
      </c>
      <c r="I42" s="24">
        <f>+'BS Actual &amp; Forecast'!I42</f>
        <v>1670811.7748600477</v>
      </c>
      <c r="J42" s="24">
        <f>+'BS Actual &amp; Forecast'!J42</f>
        <v>1853582.8725987305</v>
      </c>
      <c r="K42" s="24">
        <f>+'BS Actual &amp; Forecast'!K42</f>
        <v>1998636.6120995765</v>
      </c>
      <c r="L42" s="24">
        <f>+'BS Actual &amp; Forecast'!L42</f>
        <v>2059140.2479784004</v>
      </c>
      <c r="M42" s="24">
        <f>+'BS Actual &amp; Forecast'!M42</f>
        <v>2170078.6869677748</v>
      </c>
      <c r="N42" s="24">
        <f>+'BS Actual &amp; Forecast'!N42</f>
        <v>2234754.5753100244</v>
      </c>
      <c r="Q42" s="24">
        <f>+'BS Actual &amp; Forecast'!Q42</f>
        <v>2360546.6017852351</v>
      </c>
      <c r="R42" s="24">
        <f>+'BS Actual &amp; Forecast'!R42</f>
        <v>2597813.2043952351</v>
      </c>
      <c r="S42" s="24">
        <f>+'BS Actual &amp; Forecast'!S42</f>
        <v>2758953.6925276327</v>
      </c>
      <c r="T42" s="24">
        <f>+'BS Actual &amp; Forecast'!T42</f>
        <v>2826751.4100061315</v>
      </c>
      <c r="U42" s="24">
        <f>+'BS Actual &amp; Forecast'!U42</f>
        <v>2903873.8751706588</v>
      </c>
      <c r="V42" s="24">
        <f>+'BS Actual &amp; Forecast'!V42</f>
        <v>2945039.1925362856</v>
      </c>
      <c r="W42" s="28"/>
      <c r="X42" s="28"/>
      <c r="Y42" s="28"/>
      <c r="Z42" s="28"/>
      <c r="AA42" s="28"/>
      <c r="AB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</row>
    <row r="43" spans="1:42" x14ac:dyDescent="0.15">
      <c r="A43" s="26" t="s">
        <v>76</v>
      </c>
      <c r="C43" s="23">
        <f>SUM(C40:C42)</f>
        <v>780011</v>
      </c>
      <c r="D43" s="23">
        <f t="shared" ref="D43:N43" si="25">SUM(D40:D42)</f>
        <v>879860.99420000019</v>
      </c>
      <c r="E43" s="23">
        <f t="shared" si="25"/>
        <v>934733.46791085741</v>
      </c>
      <c r="F43" s="23">
        <f t="shared" si="25"/>
        <v>925618.079079916</v>
      </c>
      <c r="G43" s="23">
        <f t="shared" si="25"/>
        <v>958304.13015004736</v>
      </c>
      <c r="H43" s="23">
        <f t="shared" si="25"/>
        <v>1051019.6317961139</v>
      </c>
      <c r="I43" s="23">
        <f t="shared" si="25"/>
        <v>1150811.7748600477</v>
      </c>
      <c r="J43" s="23">
        <f t="shared" si="25"/>
        <v>1258582.8725987305</v>
      </c>
      <c r="K43" s="23">
        <f t="shared" si="25"/>
        <v>1328636.6120995765</v>
      </c>
      <c r="L43" s="23">
        <f t="shared" si="25"/>
        <v>1314140.2479784004</v>
      </c>
      <c r="M43" s="23">
        <f t="shared" si="25"/>
        <v>1350078.6869677748</v>
      </c>
      <c r="N43" s="23">
        <f t="shared" si="25"/>
        <v>1014754.5753100244</v>
      </c>
      <c r="Q43" s="23">
        <f t="shared" ref="Q43:V43" si="26">SUM(Q40:Q42)</f>
        <v>1040546.6017852351</v>
      </c>
      <c r="R43" s="23">
        <f t="shared" si="26"/>
        <v>1177813.2043952351</v>
      </c>
      <c r="S43" s="23">
        <f t="shared" si="26"/>
        <v>1238953.6925276327</v>
      </c>
      <c r="T43" s="23">
        <f t="shared" si="26"/>
        <v>1206751.4100061315</v>
      </c>
      <c r="U43" s="23">
        <f t="shared" si="26"/>
        <v>1183873.8751706588</v>
      </c>
      <c r="V43" s="23">
        <f t="shared" si="26"/>
        <v>1125039.1925362856</v>
      </c>
      <c r="W43" s="23">
        <f t="shared" ref="W43" si="27">SUM(W40:W42)</f>
        <v>0</v>
      </c>
      <c r="X43" s="23">
        <f>SUM(X40:X42)</f>
        <v>0</v>
      </c>
      <c r="Y43" s="23">
        <f>SUM(Y40:Y42)</f>
        <v>0</v>
      </c>
      <c r="Z43" s="23">
        <f>SUM(Z40:Z42)</f>
        <v>0</v>
      </c>
      <c r="AA43" s="23">
        <f>SUM(AA40:AA42)</f>
        <v>0</v>
      </c>
      <c r="AB43" s="23">
        <f>SUM(AB40:AB42)</f>
        <v>0</v>
      </c>
      <c r="AE43" s="23">
        <f t="shared" ref="AE43:AJ43" si="28">SUM(AE40:AE42)</f>
        <v>0</v>
      </c>
      <c r="AF43" s="23">
        <f t="shared" si="28"/>
        <v>0</v>
      </c>
      <c r="AG43" s="23">
        <f t="shared" si="28"/>
        <v>0</v>
      </c>
      <c r="AH43" s="23">
        <f t="shared" si="28"/>
        <v>0</v>
      </c>
      <c r="AI43" s="23">
        <f t="shared" si="28"/>
        <v>0</v>
      </c>
      <c r="AJ43" s="23">
        <f t="shared" si="28"/>
        <v>0</v>
      </c>
      <c r="AK43" s="23">
        <f t="shared" ref="AK43:AP43" si="29">SUM(AK40:AK42)</f>
        <v>0</v>
      </c>
      <c r="AL43" s="23">
        <f t="shared" si="29"/>
        <v>0</v>
      </c>
      <c r="AM43" s="23">
        <f t="shared" si="29"/>
        <v>0</v>
      </c>
      <c r="AN43" s="23">
        <f t="shared" si="29"/>
        <v>0</v>
      </c>
      <c r="AO43" s="23">
        <f t="shared" si="29"/>
        <v>0</v>
      </c>
      <c r="AP43" s="23">
        <f t="shared" si="29"/>
        <v>0</v>
      </c>
    </row>
    <row r="44" spans="1:42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</row>
    <row r="45" spans="1:42" ht="14" thickBot="1" x14ac:dyDescent="0.2">
      <c r="A45" t="s">
        <v>77</v>
      </c>
      <c r="C45" s="32">
        <f>C34+C37+C43</f>
        <v>4791216</v>
      </c>
      <c r="D45" s="32">
        <f t="shared" ref="D45:N45" si="30">D34+D37+D43</f>
        <v>4903645.4098542063</v>
      </c>
      <c r="E45" s="32">
        <f t="shared" si="30"/>
        <v>4991174.0456795488</v>
      </c>
      <c r="F45" s="32">
        <f t="shared" si="30"/>
        <v>4708286.619377072</v>
      </c>
      <c r="G45" s="32">
        <f t="shared" si="30"/>
        <v>4855038.2291686423</v>
      </c>
      <c r="H45" s="32">
        <f t="shared" si="30"/>
        <v>5110266.9843754414</v>
      </c>
      <c r="I45" s="32">
        <f t="shared" si="30"/>
        <v>5147357.8557233922</v>
      </c>
      <c r="J45" s="32">
        <f t="shared" si="30"/>
        <v>5654524.4423839618</v>
      </c>
      <c r="K45" s="32">
        <f t="shared" si="30"/>
        <v>5346765.0370257422</v>
      </c>
      <c r="L45" s="32">
        <f t="shared" si="30"/>
        <v>5131216.9920820724</v>
      </c>
      <c r="M45" s="32">
        <f t="shared" si="30"/>
        <v>5086909.6584772998</v>
      </c>
      <c r="N45" s="32">
        <f t="shared" si="30"/>
        <v>4484359.0977581348</v>
      </c>
      <c r="Q45" s="32">
        <f t="shared" ref="Q45:V45" si="31">Q34+Q37+Q43</f>
        <v>4592221.3686920274</v>
      </c>
      <c r="R45" s="32">
        <f t="shared" si="31"/>
        <v>5057760.1106101684</v>
      </c>
      <c r="S45" s="32">
        <f t="shared" si="31"/>
        <v>5295744.0647142529</v>
      </c>
      <c r="T45" s="32">
        <f t="shared" si="31"/>
        <v>5025553.9036454931</v>
      </c>
      <c r="U45" s="32">
        <f t="shared" si="31"/>
        <v>4846907.1117863283</v>
      </c>
      <c r="V45" s="32">
        <f t="shared" si="31"/>
        <v>4482603.4608758111</v>
      </c>
      <c r="W45" s="32">
        <f t="shared" ref="W45" si="32">W34+W37+W43</f>
        <v>0</v>
      </c>
      <c r="X45" s="32">
        <f>X34+X37+X43</f>
        <v>0</v>
      </c>
      <c r="Y45" s="32">
        <f>Y34+Y37+Y43</f>
        <v>0</v>
      </c>
      <c r="Z45" s="32">
        <f>Z34+Z37+Z43</f>
        <v>0</v>
      </c>
      <c r="AA45" s="32">
        <f>AA34+AA37+AA43</f>
        <v>0</v>
      </c>
      <c r="AB45" s="32">
        <f>AB34+AB37+AB43</f>
        <v>0</v>
      </c>
      <c r="AE45" s="32">
        <f t="shared" ref="AE45:AJ45" si="33">AE34+AE37+AE43</f>
        <v>0</v>
      </c>
      <c r="AF45" s="32">
        <f t="shared" si="33"/>
        <v>0</v>
      </c>
      <c r="AG45" s="32">
        <f t="shared" si="33"/>
        <v>0</v>
      </c>
      <c r="AH45" s="32">
        <f t="shared" si="33"/>
        <v>0</v>
      </c>
      <c r="AI45" s="32">
        <f t="shared" si="33"/>
        <v>0</v>
      </c>
      <c r="AJ45" s="32">
        <f t="shared" si="33"/>
        <v>0</v>
      </c>
      <c r="AK45" s="32">
        <f t="shared" ref="AK45:AP45" si="34">AK34+AK37+AK43</f>
        <v>0</v>
      </c>
      <c r="AL45" s="32">
        <f t="shared" si="34"/>
        <v>0</v>
      </c>
      <c r="AM45" s="32">
        <f t="shared" si="34"/>
        <v>0</v>
      </c>
      <c r="AN45" s="32">
        <f t="shared" si="34"/>
        <v>0</v>
      </c>
      <c r="AO45" s="32">
        <f t="shared" si="34"/>
        <v>0</v>
      </c>
      <c r="AP45" s="32">
        <f t="shared" si="34"/>
        <v>0</v>
      </c>
    </row>
    <row r="46" spans="1:42" ht="14" thickTop="1" x14ac:dyDescent="0.1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</row>
    <row r="47" spans="1:42" x14ac:dyDescent="0.15">
      <c r="C47" s="23">
        <f>C25-C45</f>
        <v>-0.47499999962747097</v>
      </c>
      <c r="D47" s="23">
        <f t="shared" ref="D47:N47" si="35">D25-D45</f>
        <v>-0.47500000055879354</v>
      </c>
      <c r="E47" s="23">
        <f t="shared" si="35"/>
        <v>-0.4749999986961484</v>
      </c>
      <c r="F47" s="23">
        <f t="shared" si="35"/>
        <v>-0.47500000055879354</v>
      </c>
      <c r="G47" s="23">
        <f t="shared" si="35"/>
        <v>-0.47500000055879354</v>
      </c>
      <c r="H47" s="23">
        <f t="shared" si="35"/>
        <v>-0.47499999962747097</v>
      </c>
      <c r="I47" s="23">
        <f t="shared" si="35"/>
        <v>-0.47500000149011612</v>
      </c>
      <c r="J47" s="23">
        <f t="shared" si="35"/>
        <v>-0.47500000055879354</v>
      </c>
      <c r="K47" s="23">
        <f t="shared" si="35"/>
        <v>-0.47500000055879354</v>
      </c>
      <c r="L47" s="23">
        <f t="shared" si="35"/>
        <v>-0.47500000055879354</v>
      </c>
      <c r="M47" s="23">
        <f t="shared" si="35"/>
        <v>-0.47500000055879354</v>
      </c>
      <c r="N47" s="23">
        <f t="shared" si="35"/>
        <v>-0.47499999962747097</v>
      </c>
      <c r="Q47" s="23">
        <f t="shared" ref="Q47:V47" si="36">Q25-Q45</f>
        <v>-0.4749999949708581</v>
      </c>
      <c r="R47" s="23">
        <f t="shared" si="36"/>
        <v>-0.4749999949708581</v>
      </c>
      <c r="S47" s="23">
        <f t="shared" si="36"/>
        <v>-0.47499999403953552</v>
      </c>
      <c r="T47" s="23">
        <f t="shared" si="36"/>
        <v>-0.47499999590218067</v>
      </c>
      <c r="U47" s="23">
        <f t="shared" si="36"/>
        <v>-0.47499999403953552</v>
      </c>
      <c r="V47" s="23">
        <f t="shared" si="36"/>
        <v>-0.47499999403953552</v>
      </c>
      <c r="W47" s="40">
        <f t="shared" ref="W47" si="37">W25-W45</f>
        <v>0</v>
      </c>
      <c r="X47" s="40">
        <f>X25-X45</f>
        <v>0</v>
      </c>
      <c r="Y47" s="40">
        <f>Y25-Y45</f>
        <v>0</v>
      </c>
      <c r="Z47" s="40">
        <f>Z25-Z45</f>
        <v>0</v>
      </c>
      <c r="AA47" s="40">
        <f>AA25-AA45</f>
        <v>0</v>
      </c>
      <c r="AB47" s="40">
        <f>AB25-AB45</f>
        <v>0</v>
      </c>
      <c r="AE47" s="40">
        <f t="shared" ref="AE47:AJ47" si="38">AE25-AE45</f>
        <v>0</v>
      </c>
      <c r="AF47" s="40">
        <f t="shared" si="38"/>
        <v>0</v>
      </c>
      <c r="AG47" s="40">
        <f t="shared" si="38"/>
        <v>0</v>
      </c>
      <c r="AH47" s="40">
        <f t="shared" si="38"/>
        <v>0</v>
      </c>
      <c r="AI47" s="40">
        <f t="shared" si="38"/>
        <v>0</v>
      </c>
      <c r="AJ47" s="40">
        <f t="shared" si="38"/>
        <v>0</v>
      </c>
      <c r="AK47" s="40">
        <f t="shared" ref="AK47:AP47" si="39">AK25-AK45</f>
        <v>0</v>
      </c>
      <c r="AL47" s="40">
        <f t="shared" si="39"/>
        <v>0</v>
      </c>
      <c r="AM47" s="40">
        <f t="shared" si="39"/>
        <v>0</v>
      </c>
      <c r="AN47" s="40">
        <f t="shared" si="39"/>
        <v>0</v>
      </c>
      <c r="AO47" s="40">
        <f t="shared" si="39"/>
        <v>0</v>
      </c>
      <c r="AP47" s="40">
        <f t="shared" si="39"/>
        <v>0</v>
      </c>
    </row>
    <row r="48" spans="1:42" x14ac:dyDescent="0.15">
      <c r="A48" t="s">
        <v>51</v>
      </c>
    </row>
    <row r="49" spans="1:22" x14ac:dyDescent="0.15">
      <c r="A49" t="s">
        <v>51</v>
      </c>
    </row>
    <row r="50" spans="1:22" x14ac:dyDescent="0.15">
      <c r="A50" s="54" t="s">
        <v>178</v>
      </c>
      <c r="C50" s="31">
        <f>+'BS Actual &amp; Forecast'!C45</f>
        <v>4791216</v>
      </c>
      <c r="D50" s="31">
        <f>+'BS Actual &amp; Forecast'!D45</f>
        <v>4903645.4098542063</v>
      </c>
      <c r="E50" s="31">
        <f>+'BS Actual &amp; Forecast'!E45</f>
        <v>4991174.0456795488</v>
      </c>
      <c r="F50" s="31">
        <f>+'BS Actual &amp; Forecast'!F45</f>
        <v>4708286.619377072</v>
      </c>
      <c r="G50" s="31">
        <f>+'BS Actual &amp; Forecast'!G45</f>
        <v>4855038.2291686423</v>
      </c>
      <c r="H50" s="31">
        <f>+'BS Actual &amp; Forecast'!H45</f>
        <v>5110266.9843754414</v>
      </c>
      <c r="I50" s="31">
        <f>+'BS Actual &amp; Forecast'!I45</f>
        <v>5147357.8557233922</v>
      </c>
      <c r="J50" s="31">
        <f>+'BS Actual &amp; Forecast'!J45</f>
        <v>5654524.4423839618</v>
      </c>
      <c r="K50" s="31">
        <f>+'BS Actual &amp; Forecast'!K45</f>
        <v>5346765.0370257422</v>
      </c>
      <c r="L50" s="31">
        <f>+'BS Actual &amp; Forecast'!L45</f>
        <v>5131216.9920820724</v>
      </c>
      <c r="M50" s="31">
        <f>+'BS Actual &amp; Forecast'!M45</f>
        <v>5086909.6584772998</v>
      </c>
      <c r="N50" s="31">
        <f>+'BS Actual &amp; Forecast'!N45</f>
        <v>4484359.0977581348</v>
      </c>
      <c r="Q50" s="31">
        <f>+'BS Actual &amp; Forecast'!Q45</f>
        <v>4592221.3686920274</v>
      </c>
      <c r="R50" s="31">
        <f>+'BS Actual &amp; Forecast'!R45</f>
        <v>5057760.1106101684</v>
      </c>
      <c r="S50" s="31">
        <f>+'BS Actual &amp; Forecast'!S45</f>
        <v>5295744.0647142529</v>
      </c>
      <c r="T50" s="31">
        <f>+'BS Actual &amp; Forecast'!T45</f>
        <v>5025553.9036454931</v>
      </c>
      <c r="U50" s="31">
        <f>+'BS Actual &amp; Forecast'!U45</f>
        <v>4846907.1117863283</v>
      </c>
      <c r="V50" s="31">
        <f>+'BS Actual &amp; Forecast'!V45</f>
        <v>4482603.4608758111</v>
      </c>
    </row>
    <row r="51" spans="1:22" x14ac:dyDescent="0.15">
      <c r="A51" t="s">
        <v>51</v>
      </c>
      <c r="C51" s="31">
        <f>+C50-C45</f>
        <v>0</v>
      </c>
      <c r="D51" s="31">
        <f t="shared" ref="D51:N51" si="40">+D50-D45</f>
        <v>0</v>
      </c>
      <c r="E51" s="31">
        <f t="shared" si="40"/>
        <v>0</v>
      </c>
      <c r="F51" s="31">
        <f t="shared" si="40"/>
        <v>0</v>
      </c>
      <c r="G51" s="31">
        <f t="shared" si="40"/>
        <v>0</v>
      </c>
      <c r="H51" s="31">
        <f t="shared" si="40"/>
        <v>0</v>
      </c>
      <c r="I51" s="31">
        <f t="shared" si="40"/>
        <v>0</v>
      </c>
      <c r="J51" s="31">
        <f t="shared" si="40"/>
        <v>0</v>
      </c>
      <c r="K51" s="31">
        <f t="shared" si="40"/>
        <v>0</v>
      </c>
      <c r="L51" s="31">
        <f t="shared" si="40"/>
        <v>0</v>
      </c>
      <c r="M51" s="31">
        <f t="shared" si="40"/>
        <v>0</v>
      </c>
      <c r="N51" s="31">
        <f t="shared" si="40"/>
        <v>0</v>
      </c>
      <c r="Q51" s="31">
        <f t="shared" ref="Q51:V51" si="41">+Q50-Q45</f>
        <v>0</v>
      </c>
      <c r="R51" s="31">
        <f t="shared" si="41"/>
        <v>0</v>
      </c>
      <c r="S51" s="31">
        <f t="shared" si="41"/>
        <v>0</v>
      </c>
      <c r="T51" s="31">
        <f t="shared" si="41"/>
        <v>0</v>
      </c>
      <c r="U51" s="31">
        <f t="shared" si="41"/>
        <v>0</v>
      </c>
      <c r="V51" s="31">
        <f t="shared" si="41"/>
        <v>0</v>
      </c>
    </row>
    <row r="52" spans="1:22" x14ac:dyDescent="0.15">
      <c r="A52" t="s">
        <v>51</v>
      </c>
    </row>
  </sheetData>
  <pageMargins left="0.75" right="0.75" top="1" bottom="1" header="0.5" footer="0.5"/>
  <pageSetup scale="60" orientation="landscape"/>
  <headerFooter alignWithMargins="0"/>
  <colBreaks count="1" manualBreakCount="1">
    <brk id="14" max="50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AD44"/>
  <sheetViews>
    <sheetView topLeftCell="J16" workbookViewId="0">
      <selection activeCell="J61" sqref="J61"/>
    </sheetView>
  </sheetViews>
  <sheetFormatPr baseColWidth="10" defaultColWidth="8.83203125" defaultRowHeight="13" outlineLevelCol="1" x14ac:dyDescent="0.15"/>
  <cols>
    <col min="1" max="1" width="78.1640625" customWidth="1"/>
    <col min="3" max="3" width="12.5" customWidth="1" outlineLevel="1"/>
    <col min="4" max="4" width="11.6640625" customWidth="1" outlineLevel="1"/>
    <col min="5" max="7" width="11.33203125" customWidth="1" outlineLevel="1"/>
    <col min="8" max="8" width="11.1640625" customWidth="1" outlineLevel="1"/>
    <col min="9" max="14" width="11.33203125" customWidth="1" outlineLevel="1"/>
    <col min="15" max="15" width="11.5" customWidth="1"/>
    <col min="16" max="16" width="2.5" customWidth="1"/>
    <col min="17" max="18" width="11.83203125" customWidth="1" outlineLevel="1"/>
    <col min="19" max="21" width="11.33203125" customWidth="1" outlineLevel="1"/>
    <col min="22" max="22" width="11" customWidth="1" outlineLevel="1"/>
    <col min="23" max="23" width="11.33203125" customWidth="1" outlineLevel="1"/>
    <col min="24" max="28" width="11.1640625" customWidth="1" outlineLevel="1"/>
    <col min="29" max="29" width="11.6640625" customWidth="1"/>
  </cols>
  <sheetData>
    <row r="1" spans="1:30" x14ac:dyDescent="0.15">
      <c r="A1" s="1" t="str">
        <f>+'IS Actual &amp; Forecast'!A1</f>
        <v>ABC Construction Company</v>
      </c>
    </row>
    <row r="2" spans="1:30" ht="20" x14ac:dyDescent="0.2">
      <c r="A2" s="2" t="s">
        <v>173</v>
      </c>
      <c r="H2" s="38" t="s">
        <v>82</v>
      </c>
      <c r="V2" s="38" t="s">
        <v>84</v>
      </c>
    </row>
    <row r="6" spans="1:30" x14ac:dyDescent="0.15"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  <c r="W6" s="47" t="s">
        <v>99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 t="s">
        <v>54</v>
      </c>
      <c r="AD6" s="36"/>
    </row>
    <row r="7" spans="1:30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94" t="s">
        <v>84</v>
      </c>
    </row>
    <row r="8" spans="1:30" x14ac:dyDescent="0.15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30" x14ac:dyDescent="0.15">
      <c r="A9" s="54" t="s">
        <v>183</v>
      </c>
      <c r="C9" s="31">
        <f>+'IS Actual &amp; Forecast'!C46</f>
        <v>112718.38900000005</v>
      </c>
      <c r="D9" s="31">
        <f>+'IS Actual &amp; Forecast'!D46</f>
        <v>174849.99420000016</v>
      </c>
      <c r="E9" s="31">
        <f>+'IS Actual &amp; Forecast'!E46</f>
        <v>129872.47371085733</v>
      </c>
      <c r="F9" s="31">
        <f>+'IS Actual &amp; Forecast'!F46</f>
        <v>65884.611169058568</v>
      </c>
      <c r="G9" s="31">
        <f>+'IS Actual &amp; Forecast'!G46</f>
        <v>107686.05107013127</v>
      </c>
      <c r="H9" s="31">
        <f>+'IS Actual &amp; Forecast'!H46</f>
        <v>167715.50164606649</v>
      </c>
      <c r="I9" s="31">
        <f>+'IS Actual &amp; Forecast'!I46</f>
        <v>174792.14306393373</v>
      </c>
      <c r="J9" s="31">
        <f>+'IS Actual &amp; Forecast'!J46</f>
        <v>182771.09773868279</v>
      </c>
      <c r="K9" s="31">
        <f>+'IS Actual &amp; Forecast'!K46</f>
        <v>145053.73950084602</v>
      </c>
      <c r="L9" s="31">
        <f>+'IS Actual &amp; Forecast'!L46</f>
        <v>60503.635878823996</v>
      </c>
      <c r="M9" s="31">
        <f>+'IS Actual &amp; Forecast'!M46</f>
        <v>110938.43898937415</v>
      </c>
      <c r="N9" s="31">
        <f>+'IS Actual &amp; Forecast'!N46</f>
        <v>64675.888342249709</v>
      </c>
      <c r="O9" s="31">
        <f>SUM(C9:N9)</f>
        <v>1497461.9643100242</v>
      </c>
      <c r="Q9" s="31">
        <f>+'IS Actual &amp; Forecast'!Q46</f>
        <v>125792.02647521088</v>
      </c>
      <c r="R9" s="31">
        <f>+'IS Actual &amp; Forecast'!R46</f>
        <v>237266.60261000015</v>
      </c>
      <c r="S9" s="31">
        <f>+'IS Actual &amp; Forecast'!S46</f>
        <v>161140.48813239767</v>
      </c>
      <c r="T9" s="31">
        <f>+'IS Actual &amp; Forecast'!T46</f>
        <v>67797.717478498816</v>
      </c>
      <c r="U9" s="31">
        <f>+'IS Actual &amp; Forecast'!U46</f>
        <v>77122.465164527268</v>
      </c>
      <c r="V9" s="31">
        <f>+'IS Actual &amp; Forecast'!V46</f>
        <v>41165.317365626812</v>
      </c>
      <c r="W9" s="31"/>
      <c r="X9" s="31"/>
      <c r="Y9" s="31"/>
      <c r="Z9" s="31"/>
      <c r="AA9" s="31"/>
      <c r="AB9" s="31"/>
      <c r="AC9" s="31">
        <f>SUM(Q9:AB9)</f>
        <v>710284.61722626165</v>
      </c>
    </row>
    <row r="11" spans="1:30" x14ac:dyDescent="0.15">
      <c r="A11" t="s">
        <v>174</v>
      </c>
      <c r="C11" s="23">
        <f>+'IS Actual &amp; Forecast'!C33</f>
        <v>5475</v>
      </c>
      <c r="D11" s="23">
        <f>+'IS Actual &amp; Forecast'!D33</f>
        <v>5475</v>
      </c>
      <c r="E11" s="23">
        <f>+'IS Actual &amp; Forecast'!E33</f>
        <v>5475</v>
      </c>
      <c r="F11" s="23">
        <f>+'IS Actual &amp; Forecast'!F33</f>
        <v>5475</v>
      </c>
      <c r="G11" s="23">
        <f>+'IS Actual &amp; Forecast'!G33</f>
        <v>5475</v>
      </c>
      <c r="H11" s="23">
        <f>+'IS Actual &amp; Forecast'!H33</f>
        <v>5475</v>
      </c>
      <c r="I11" s="23">
        <f>+'IS Actual &amp; Forecast'!I33</f>
        <v>5475</v>
      </c>
      <c r="J11" s="23">
        <f>+'IS Actual &amp; Forecast'!J33</f>
        <v>5475</v>
      </c>
      <c r="K11" s="23">
        <f>+'IS Actual &amp; Forecast'!K33</f>
        <v>5475</v>
      </c>
      <c r="L11" s="23">
        <f>+'IS Actual &amp; Forecast'!L33</f>
        <v>5475</v>
      </c>
      <c r="M11" s="23">
        <f>+'IS Actual &amp; Forecast'!M33</f>
        <v>5475</v>
      </c>
      <c r="N11" s="23">
        <f>+'IS Actual &amp; Forecast'!N33</f>
        <v>10350</v>
      </c>
      <c r="O11" s="23">
        <f>SUM(C11:N11)</f>
        <v>70575</v>
      </c>
      <c r="Q11" s="23">
        <f>+'IS Actual &amp; Forecast'!Q33</f>
        <v>5850</v>
      </c>
      <c r="R11" s="23">
        <f>+'IS Actual &amp; Forecast'!R33</f>
        <v>5850</v>
      </c>
      <c r="S11" s="23">
        <f>+'IS Actual &amp; Forecast'!S33</f>
        <v>5850</v>
      </c>
      <c r="T11" s="23">
        <f>+'IS Actual &amp; Forecast'!T33</f>
        <v>5850</v>
      </c>
      <c r="U11" s="23">
        <f>+'IS Actual &amp; Forecast'!U33</f>
        <v>5850</v>
      </c>
      <c r="V11" s="23">
        <f>+'IS Actual &amp; Forecast'!V33</f>
        <v>5850</v>
      </c>
      <c r="W11" s="23"/>
      <c r="X11" s="23"/>
      <c r="Y11" s="23"/>
      <c r="Z11" s="23"/>
      <c r="AA11" s="23"/>
      <c r="AB11" s="23"/>
      <c r="AC11" s="23">
        <f>SUM(Q11:AB11)</f>
        <v>35100</v>
      </c>
    </row>
    <row r="12" spans="1:30" x14ac:dyDescent="0.15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spans="1:30" x14ac:dyDescent="0.15">
      <c r="A13" t="s">
        <v>175</v>
      </c>
      <c r="C13" s="23">
        <v>-15679</v>
      </c>
      <c r="D13" s="23">
        <f>+'BS Actual &amp; Forecast'!C11-'BS Actual &amp; Forecast'!D11</f>
        <v>21375.816000000108</v>
      </c>
      <c r="E13" s="23">
        <f>+'BS Actual &amp; Forecast'!D11-'BS Actual &amp; Forecast'!E11</f>
        <v>-43606.66464000009</v>
      </c>
      <c r="F13" s="23">
        <f>+'BS Actual &amp; Forecast'!E11-'BS Actual &amp; Forecast'!F11</f>
        <v>51831.297172800172</v>
      </c>
      <c r="G13" s="23">
        <f>+'BS Actual &amp; Forecast'!F11-'BS Actual &amp; Forecast'!G11</f>
        <v>39743.114152896218</v>
      </c>
      <c r="H13" s="23">
        <f>+'BS Actual &amp; Forecast'!G11-'BS Actual &amp; Forecast'!H11</f>
        <v>-43717.425568185747</v>
      </c>
      <c r="I13" s="23">
        <f>+'BS Actual &amp; Forecast'!H11-'BS Actual &amp; Forecast'!I11</f>
        <v>62297.331434664316</v>
      </c>
      <c r="J13" s="23">
        <f>+'BS Actual &amp; Forecast'!I11-'BS Actual &amp; Forecast'!J11</f>
        <v>-74414.010000000242</v>
      </c>
      <c r="K13" s="23">
        <f>+'BS Actual &amp; Forecast'!J11-'BS Actual &amp; Forecast'!K11</f>
        <v>-42985.158689918462</v>
      </c>
      <c r="L13" s="23">
        <f>+'BS Actual &amp; Forecast'!K11-'BS Actual &amp; Forecast'!L11</f>
        <v>-37826.93964712834</v>
      </c>
      <c r="M13" s="23">
        <f>+'BS Actual &amp; Forecast'!L11-'BS Actual &amp; Forecast'!M11</f>
        <v>53903.38899715757</v>
      </c>
      <c r="N13" s="23">
        <f>+'BS Actual &amp; Forecast'!M11-'BS Actual &amp; Forecast'!N11</f>
        <v>44598.558447015472</v>
      </c>
      <c r="O13" s="35">
        <f t="shared" ref="O13:O19" si="0">SUM(C13:N13)</f>
        <v>15520.307659300976</v>
      </c>
      <c r="Q13" s="23">
        <f>+'BS Actual &amp; Forecast'!N11-'BS Actual &amp; Forecast'!Q11</f>
        <v>64166.251377704553</v>
      </c>
      <c r="R13" s="23">
        <f>+'BS Actual &amp; Forecast'!Q11-'BS Actual &amp; Forecast'!R11</f>
        <v>-76646.430300000124</v>
      </c>
      <c r="S13" s="23">
        <f>+'BS Actual &amp; Forecast'!R11-'BS Actual &amp; Forecast'!S11</f>
        <v>-44274.713450616226</v>
      </c>
      <c r="T13" s="23">
        <f>+'BS Actual &amp; Forecast'!S11-'BS Actual &amp; Forecast'!T11</f>
        <v>-38961.747836542316</v>
      </c>
      <c r="U13" s="23">
        <f>+'BS Actual &amp; Forecast'!T11-'BS Actual &amp; Forecast'!U11</f>
        <v>55520.49066707259</v>
      </c>
      <c r="V13" s="23">
        <f>+'BS Actual &amp; Forecast'!U11-'BS Actual &amp; Forecast'!V11</f>
        <v>245936.82665246399</v>
      </c>
      <c r="W13" s="23"/>
      <c r="X13" s="23"/>
      <c r="Y13" s="23"/>
      <c r="Z13" s="23"/>
      <c r="AA13" s="23"/>
      <c r="AB13" s="23"/>
      <c r="AC13" s="35">
        <f t="shared" ref="AC13:AC19" si="1">SUM(Q13:AB13)</f>
        <v>205740.67711008247</v>
      </c>
    </row>
    <row r="14" spans="1:30" x14ac:dyDescent="0.15">
      <c r="A14" t="s">
        <v>176</v>
      </c>
      <c r="C14" s="23">
        <v>3425</v>
      </c>
      <c r="D14" s="23">
        <f>+'BS Actual &amp; Forecast'!C12-'BS Actual &amp; Forecast'!D12</f>
        <v>-17912.93380800006</v>
      </c>
      <c r="E14" s="23">
        <f>+'BS Actual &amp; Forecast'!D12-'BS Actual &amp; Forecast'!E12</f>
        <v>37109.271608639974</v>
      </c>
      <c r="F14" s="23">
        <f>+'BS Actual &amp; Forecast'!E12-'BS Actual &amp; Forecast'!F12</f>
        <v>-44678.578162953723</v>
      </c>
      <c r="G14" s="23">
        <f>+'BS Actual &amp; Forecast'!F12-'BS Actual &amp; Forecast'!G12</f>
        <v>-33662.417687502922</v>
      </c>
      <c r="H14" s="23">
        <f>+'BS Actual &amp; Forecast'!G12-'BS Actual &amp; Forecast'!H12</f>
        <v>36810.072328412207</v>
      </c>
      <c r="I14" s="23">
        <f>+'BS Actual &amp; Forecast'!H12-'BS Actual &amp; Forecast'!I12</f>
        <v>-51955.974416510202</v>
      </c>
      <c r="J14" s="23">
        <f>+'BS Actual &amp; Forecast'!I12-'BS Actual &amp; Forecast'!J12</f>
        <v>63623.978550000116</v>
      </c>
      <c r="K14" s="23">
        <f>+'BS Actual &amp; Forecast'!J12-'BS Actual &amp; Forecast'!K12</f>
        <v>36365.444251670968</v>
      </c>
      <c r="L14" s="23">
        <f>+'BS Actual &amp; Forecast'!K12-'BS Actual &amp; Forecast'!L12</f>
        <v>32947.264432648662</v>
      </c>
      <c r="M14" s="23">
        <f>+'BS Actual &amp; Forecast'!L12-'BS Actual &amp; Forecast'!M12</f>
        <v>-45602.267091595568</v>
      </c>
      <c r="N14" s="23">
        <f>+'BS Actual &amp; Forecast'!M12-'BS Actual &amp; Forecast'!N12</f>
        <v>-37507.387653940124</v>
      </c>
      <c r="O14" s="35">
        <f t="shared" si="0"/>
        <v>-21038.527649130672</v>
      </c>
      <c r="Q14" s="23">
        <f>+'BS Actual &amp; Forecast'!N12-'BS Actual &amp; Forecast'!Q12</f>
        <v>-55118.80993344821</v>
      </c>
      <c r="R14" s="23">
        <f>+'BS Actual &amp; Forecast'!Q12-'BS Actual &amp; Forecast'!R12</f>
        <v>64306.35502170003</v>
      </c>
      <c r="S14" s="23">
        <f>+'BS Actual &amp; Forecast'!R12-'BS Actual &amp; Forecast'!S12</f>
        <v>37235.034011968179</v>
      </c>
      <c r="T14" s="23">
        <f>+'BS Actual &amp; Forecast'!S12-'BS Actual &amp; Forecast'!T12</f>
        <v>33974.644113464747</v>
      </c>
      <c r="U14" s="23">
        <f>+'BS Actual &amp; Forecast'!T12-'BS Actual &amp; Forecast'!U12</f>
        <v>-47025.855595010566</v>
      </c>
      <c r="V14" s="23">
        <f>+'BS Actual &amp; Forecast'!U12-'BS Actual &amp; Forecast'!V12</f>
        <v>-39091.974435562734</v>
      </c>
      <c r="W14" s="23"/>
      <c r="X14" s="23"/>
      <c r="Y14" s="23"/>
      <c r="Z14" s="23"/>
      <c r="AA14" s="23"/>
      <c r="AB14" s="23"/>
      <c r="AC14" s="35">
        <f t="shared" si="1"/>
        <v>-5720.606816888554</v>
      </c>
    </row>
    <row r="15" spans="1:30" x14ac:dyDescent="0.15">
      <c r="A15" t="s">
        <v>185</v>
      </c>
      <c r="C15" s="23">
        <v>-11745</v>
      </c>
      <c r="D15" s="23">
        <f>+'BS Actual &amp; Forecast'!C13-'BS Actual &amp; Forecast'!D13</f>
        <v>76326.744500000001</v>
      </c>
      <c r="E15" s="23">
        <f>+'BS Actual &amp; Forecast'!D13-'BS Actual &amp; Forecast'!E13</f>
        <v>-29621.792204999976</v>
      </c>
      <c r="F15" s="23">
        <f>+'BS Actual &amp; Forecast'!E13-'BS Actual &amp; Forecast'!F13</f>
        <v>-86255.425332999992</v>
      </c>
      <c r="G15" s="23">
        <f>+'BS Actual &amp; Forecast'!F13-'BS Actual &amp; Forecast'!G13</f>
        <v>55113.856186799996</v>
      </c>
      <c r="H15" s="23">
        <f>+'BS Actual &amp; Forecast'!G13-'BS Actual &amp; Forecast'!H13</f>
        <v>-43190.443884924025</v>
      </c>
      <c r="I15" s="23">
        <f>+'BS Actual &amp; Forecast'!H13-'BS Actual &amp; Forecast'!I13</f>
        <v>17445.551843714376</v>
      </c>
      <c r="J15" s="23">
        <f>+'BS Actual &amp; Forecast'!I13-'BS Actual &amp; Forecast'!J13</f>
        <v>56953.496215497609</v>
      </c>
      <c r="K15" s="23">
        <f>+'BS Actual &amp; Forecast'!J13-'BS Actual &amp; Forecast'!K13</f>
        <v>19483.441521229426</v>
      </c>
      <c r="L15" s="23">
        <f>+'BS Actual &amp; Forecast'!K13-'BS Actual &amp; Forecast'!L13</f>
        <v>-73517.519340105762</v>
      </c>
      <c r="M15" s="23">
        <f>+'BS Actual &amp; Forecast'!L13-'BS Actual &amp; Forecast'!M13</f>
        <v>-636.45908969349694</v>
      </c>
      <c r="N15" s="23">
        <f>+'BS Actual &amp; Forecast'!M13-'BS Actual &amp; Forecast'!N13</f>
        <v>-28144.22094624638</v>
      </c>
      <c r="O15" s="35">
        <f t="shared" si="0"/>
        <v>-47787.770531728223</v>
      </c>
      <c r="Q15" s="23">
        <f>+'BS Actual &amp; Forecast'!N13-'BS Actual &amp; Forecast'!Q13</f>
        <v>37209.180468932871</v>
      </c>
      <c r="R15" s="23">
        <f>+'BS Actual &amp; Forecast'!Q13-'BS Actual &amp; Forecast'!R13</f>
        <v>-110668.46756913044</v>
      </c>
      <c r="S15" s="23">
        <f>+'BS Actual &amp; Forecast'!R13-'BS Actual &amp; Forecast'!S13</f>
        <v>-17974.341712570167</v>
      </c>
      <c r="T15" s="23">
        <f>+'BS Actual &amp; Forecast'!S13-'BS Actual &amp; Forecast'!T13</f>
        <v>81123.106242023525</v>
      </c>
      <c r="U15" s="23">
        <f>+'BS Actual &amp; Forecast'!T13-'BS Actual &amp; Forecast'!U13</f>
        <v>5109.745862049429</v>
      </c>
      <c r="V15" s="23">
        <f>+'BS Actual &amp; Forecast'!U13-'BS Actual &amp; Forecast'!V13</f>
        <v>26934.554324348544</v>
      </c>
      <c r="W15" s="23"/>
      <c r="X15" s="23"/>
      <c r="Y15" s="23"/>
      <c r="Z15" s="23"/>
      <c r="AA15" s="23"/>
      <c r="AB15" s="23"/>
      <c r="AC15" s="35">
        <f t="shared" si="1"/>
        <v>21733.777615653758</v>
      </c>
    </row>
    <row r="16" spans="1:30" x14ac:dyDescent="0.15">
      <c r="A16" t="s">
        <v>184</v>
      </c>
      <c r="C16" s="23">
        <v>1250</v>
      </c>
      <c r="D16" s="23">
        <f>+'BS Actual &amp; Forecast'!C14-'BS Actual &amp; Forecast'!D14</f>
        <v>-1000</v>
      </c>
      <c r="E16" s="23">
        <f>+'BS Actual &amp; Forecast'!D14-'BS Actual &amp; Forecast'!E14</f>
        <v>0</v>
      </c>
      <c r="F16" s="23">
        <f>+'BS Actual &amp; Forecast'!E14-'BS Actual &amp; Forecast'!F14</f>
        <v>0</v>
      </c>
      <c r="G16" s="23">
        <f>+'BS Actual &amp; Forecast'!F14-'BS Actual &amp; Forecast'!G14</f>
        <v>0</v>
      </c>
      <c r="H16" s="23">
        <f>+'BS Actual &amp; Forecast'!G14-'BS Actual &amp; Forecast'!H14</f>
        <v>0</v>
      </c>
      <c r="I16" s="23">
        <f>+'BS Actual &amp; Forecast'!H14-'BS Actual &amp; Forecast'!I14</f>
        <v>0</v>
      </c>
      <c r="J16" s="23">
        <f>+'BS Actual &amp; Forecast'!I14-'BS Actual &amp; Forecast'!J14</f>
        <v>2500</v>
      </c>
      <c r="K16" s="23">
        <f>+'BS Actual &amp; Forecast'!J14-'BS Actual &amp; Forecast'!K14</f>
        <v>0</v>
      </c>
      <c r="L16" s="23">
        <f>+'BS Actual &amp; Forecast'!K14-'BS Actual &amp; Forecast'!L14</f>
        <v>0</v>
      </c>
      <c r="M16" s="23">
        <f>+'BS Actual &amp; Forecast'!L14-'BS Actual &amp; Forecast'!M14</f>
        <v>0</v>
      </c>
      <c r="N16" s="23">
        <f>+'BS Actual &amp; Forecast'!M14-'BS Actual &amp; Forecast'!N14</f>
        <v>0</v>
      </c>
      <c r="O16" s="35">
        <f t="shared" si="0"/>
        <v>2750</v>
      </c>
      <c r="Q16" s="23">
        <f>+'BS Actual &amp; Forecast'!N14-'BS Actual &amp; Forecast'!Q14</f>
        <v>0</v>
      </c>
      <c r="R16" s="23">
        <f>+'BS Actual &amp; Forecast'!Q14-'BS Actual &amp; Forecast'!R14</f>
        <v>0</v>
      </c>
      <c r="S16" s="23">
        <f>+'BS Actual &amp; Forecast'!R14-'BS Actual &amp; Forecast'!S14</f>
        <v>0</v>
      </c>
      <c r="T16" s="23">
        <f>+'BS Actual &amp; Forecast'!S14-'BS Actual &amp; Forecast'!T14</f>
        <v>0</v>
      </c>
      <c r="U16" s="23">
        <f>+'BS Actual &amp; Forecast'!T14-'BS Actual &amp; Forecast'!U14</f>
        <v>0</v>
      </c>
      <c r="V16" s="23">
        <f>+'BS Actual &amp; Forecast'!U14-'BS Actual &amp; Forecast'!V14</f>
        <v>0</v>
      </c>
      <c r="W16" s="23"/>
      <c r="X16" s="23"/>
      <c r="Y16" s="23"/>
      <c r="Z16" s="23"/>
      <c r="AA16" s="23"/>
      <c r="AB16" s="23"/>
      <c r="AC16" s="35">
        <f t="shared" si="1"/>
        <v>0</v>
      </c>
    </row>
    <row r="17" spans="1:29" x14ac:dyDescent="0.15">
      <c r="A17" t="s">
        <v>186</v>
      </c>
      <c r="C17" s="23">
        <v>-18902</v>
      </c>
      <c r="D17" s="23">
        <f>+'BS Actual &amp; Forecast'!D31-'BS Actual &amp; Forecast'!C31</f>
        <v>129477.56565420562</v>
      </c>
      <c r="E17" s="23">
        <f>+'BS Actual &amp; Forecast'!E31-'BS Actual &amp; Forecast'!D31</f>
        <v>64978.847614486236</v>
      </c>
      <c r="F17" s="23">
        <f>+'BS Actual &amp; Forecast'!F31-'BS Actual &amp; Forecast'!E31</f>
        <v>-370792.07037153607</v>
      </c>
      <c r="G17" s="23">
        <f>+'BS Actual &amp; Forecast'!G31-'BS Actual &amp; Forecast'!F31</f>
        <v>196277.57846143865</v>
      </c>
      <c r="H17" s="23">
        <f>+'BS Actual &amp; Forecast'!H31-'BS Actual &amp; Forecast'!G31</f>
        <v>159366.00823093345</v>
      </c>
      <c r="I17" s="23">
        <f>+'BS Actual &amp; Forecast'!I31-'BS Actual &amp; Forecast'!H31</f>
        <v>-110006.81401496404</v>
      </c>
      <c r="J17" s="23">
        <f>+'BS Actual &amp; Forecast'!J31-'BS Actual &amp; Forecast'!I31</f>
        <v>393834.65996322362</v>
      </c>
      <c r="K17" s="23">
        <f>+'BS Actual &amp; Forecast'!K31-'BS Actual &amp; Forecast'!J31</f>
        <v>-306339.40131926979</v>
      </c>
      <c r="L17" s="23">
        <f>+'BS Actual &amp; Forecast'!L31-'BS Actual &amp; Forecast'!K31</f>
        <v>-173062.719808341</v>
      </c>
      <c r="M17" s="23">
        <f>+'BS Actual &amp; Forecast'!M31-'BS Actual &amp; Forecast'!L31</f>
        <v>-128891.68156349612</v>
      </c>
      <c r="N17" s="23">
        <f>+'BS Actual &amp; Forecast'!N31-'BS Actual &amp; Forecast'!M31</f>
        <v>-273229.59902129997</v>
      </c>
      <c r="O17" s="35">
        <f t="shared" si="0"/>
        <v>-437289.62617461942</v>
      </c>
      <c r="Q17" s="23">
        <f>+'BS Actual &amp; Forecast'!Q31-'BS Actual &amp; Forecast'!N31</f>
        <v>75437</v>
      </c>
      <c r="R17" s="23">
        <f>+'BS Actual &amp; Forecast'!R31-'BS Actual &amp; Forecast'!Q31</f>
        <v>268998</v>
      </c>
      <c r="S17" s="23">
        <f>+'BS Actual &amp; Forecast'!S31-'BS Actual &amp; Forecast'!R31</f>
        <v>167333</v>
      </c>
      <c r="T17" s="23">
        <f>+'BS Actual &amp; Forecast'!T31-'BS Actual &amp; Forecast'!S31</f>
        <v>-155665.79867836041</v>
      </c>
      <c r="U17" s="23">
        <f>+'BS Actual &amp; Forecast'!U31-'BS Actual &amp; Forecast'!T31</f>
        <v>-125285.17865384417</v>
      </c>
      <c r="V17" s="23">
        <f>+'BS Actual &amp; Forecast'!V31-'BS Actual &amp; Forecast'!U31</f>
        <v>-252532.97627001954</v>
      </c>
      <c r="W17" s="23"/>
      <c r="X17" s="23"/>
      <c r="Y17" s="23"/>
      <c r="Z17" s="23"/>
      <c r="AA17" s="23"/>
      <c r="AB17" s="23"/>
      <c r="AC17" s="35">
        <f t="shared" si="1"/>
        <v>-21715.953602224123</v>
      </c>
    </row>
    <row r="18" spans="1:29" x14ac:dyDescent="0.15">
      <c r="A18" t="s">
        <v>187</v>
      </c>
      <c r="C18" s="23">
        <v>-10000</v>
      </c>
      <c r="D18" s="23">
        <f>+'BS Actual &amp; Forecast'!D32-'BS Actual &amp; Forecast'!C32</f>
        <v>-10000</v>
      </c>
      <c r="E18" s="23">
        <f>+'BS Actual &amp; Forecast'!E32-'BS Actual &amp; Forecast'!D32</f>
        <v>-10000</v>
      </c>
      <c r="F18" s="23">
        <f>+'BS Actual &amp; Forecast'!F32-'BS Actual &amp; Forecast'!E32</f>
        <v>-10000</v>
      </c>
      <c r="G18" s="23">
        <f>+'BS Actual &amp; Forecast'!G32-'BS Actual &amp; Forecast'!F32</f>
        <v>-10000</v>
      </c>
      <c r="H18" s="23">
        <f>+'BS Actual &amp; Forecast'!H32-'BS Actual &amp; Forecast'!G32</f>
        <v>-10000</v>
      </c>
      <c r="I18" s="23">
        <f>+'BS Actual &amp; Forecast'!I32-'BS Actual &amp; Forecast'!H32</f>
        <v>-10000</v>
      </c>
      <c r="J18" s="23">
        <f>+'BS Actual &amp; Forecast'!J32-'BS Actual &amp; Forecast'!I32</f>
        <v>-10000</v>
      </c>
      <c r="K18" s="23">
        <f>+'BS Actual &amp; Forecast'!K32-'BS Actual &amp; Forecast'!J32</f>
        <v>-10000</v>
      </c>
      <c r="L18" s="23">
        <f>+'BS Actual &amp; Forecast'!L32-'BS Actual &amp; Forecast'!K32</f>
        <v>-10000</v>
      </c>
      <c r="M18" s="23">
        <f>+'BS Actual &amp; Forecast'!M32-'BS Actual &amp; Forecast'!L32</f>
        <v>-10000</v>
      </c>
      <c r="N18" s="23">
        <f>+'BS Actual &amp; Forecast'!N32-'BS Actual &amp; Forecast'!M32</f>
        <v>-10000</v>
      </c>
      <c r="O18" s="35">
        <f t="shared" si="0"/>
        <v>-120000</v>
      </c>
      <c r="Q18" s="23">
        <f>+'BS Actual &amp; Forecast'!Q32-'BS Actual &amp; Forecast'!N32</f>
        <v>-10000</v>
      </c>
      <c r="R18" s="23">
        <f>+'BS Actual &amp; Forecast'!R32-'BS Actual &amp; Forecast'!Q32</f>
        <v>-10000</v>
      </c>
      <c r="S18" s="23">
        <f>+'BS Actual &amp; Forecast'!S32-'BS Actual &amp; Forecast'!R32</f>
        <v>-10000</v>
      </c>
      <c r="T18" s="23">
        <f>+'BS Actual &amp; Forecast'!T32-'BS Actual &amp; Forecast'!S32</f>
        <v>-10000</v>
      </c>
      <c r="U18" s="23">
        <f>+'BS Actual &amp; Forecast'!U32-'BS Actual &amp; Forecast'!T32</f>
        <v>-10000</v>
      </c>
      <c r="V18" s="23">
        <f>+'BS Actual &amp; Forecast'!V32-'BS Actual &amp; Forecast'!U32</f>
        <v>-10000</v>
      </c>
      <c r="W18" s="23"/>
      <c r="X18" s="23"/>
      <c r="Y18" s="23"/>
      <c r="Z18" s="23"/>
      <c r="AA18" s="23"/>
      <c r="AB18" s="23"/>
      <c r="AC18" s="35">
        <f t="shared" si="1"/>
        <v>-60000</v>
      </c>
    </row>
    <row r="19" spans="1:29" x14ac:dyDescent="0.15">
      <c r="A19" t="s">
        <v>188</v>
      </c>
      <c r="C19" s="24">
        <v>35024</v>
      </c>
      <c r="D19" s="24">
        <f>+'BS Actual &amp; Forecast'!D33-'BS Actual &amp; Forecast'!C33</f>
        <v>-101898.15000000002</v>
      </c>
      <c r="E19" s="24">
        <f>+'BS Actual &amp; Forecast'!E33-'BS Actual &amp; Forecast'!D33</f>
        <v>-17322.685500000021</v>
      </c>
      <c r="F19" s="24">
        <f>+'BS Actual &amp; Forecast'!F33-'BS Actual &amp; Forecast'!E33</f>
        <v>112020.03289999999</v>
      </c>
      <c r="G19" s="24">
        <f>+'BS Actual &amp; Forecast'!G33-'BS Actual &amp; Forecast'!F33</f>
        <v>-67212.019740000018</v>
      </c>
      <c r="H19" s="24">
        <f>+'BS Actual &amp; Forecast'!H33-'BS Actual &amp; Forecast'!G33</f>
        <v>18147.245329800062</v>
      </c>
      <c r="I19" s="24">
        <f>+'BS Actual &amp; Forecast'!I33-'BS Actual &amp; Forecast'!H33</f>
        <v>62305.542298980057</v>
      </c>
      <c r="J19" s="24">
        <f>+'BS Actual &amp; Forecast'!J33-'BS Actual &amp; Forecast'!I33</f>
        <v>20560.828958663391</v>
      </c>
      <c r="K19" s="24">
        <f>+'BS Actual &amp; Forecast'!K33-'BS Actual &amp; Forecast'!J33</f>
        <v>-56473.743539795396</v>
      </c>
      <c r="L19" s="24">
        <f>+'BS Actual &amp; Forecast'!L33-'BS Actual &amp; Forecast'!K33</f>
        <v>-12988.96101415297</v>
      </c>
      <c r="M19" s="24">
        <f>+'BS Actual &amp; Forecast'!M33-'BS Actual &amp; Forecast'!L33</f>
        <v>63645.908969349577</v>
      </c>
      <c r="N19" s="24">
        <f>+'BS Actual &amp; Forecast'!N33-'BS Actual &amp; Forecast'!M33</f>
        <v>21003.149959885399</v>
      </c>
      <c r="O19" s="24">
        <f t="shared" si="0"/>
        <v>76811.148622730048</v>
      </c>
      <c r="Q19" s="24">
        <f>+'BS Actual &amp; Forecast'!Q33-'BS Actual &amp; Forecast'!N33</f>
        <v>21633.244458681904</v>
      </c>
      <c r="R19" s="24">
        <f>+'BS Actual &amp; Forecast'!R33-'BS Actual &amp; Forecast'!Q33</f>
        <v>74274.139308141312</v>
      </c>
      <c r="S19" s="24">
        <f>+'BS Actual &amp; Forecast'!S33-'BS Actual &amp; Forecast'!R33</f>
        <v>24510.465971686644</v>
      </c>
      <c r="T19" s="24">
        <f>+'BS Actual &amp; Forecast'!T33-'BS Actual &amp; Forecast'!S33</f>
        <v>-67322.079868899193</v>
      </c>
      <c r="U19" s="24">
        <f>+'BS Actual &amp; Forecast'!U33-'BS Actual &amp; Forecast'!T33</f>
        <v>-15484.0783698468</v>
      </c>
      <c r="V19" s="24">
        <f>+'BS Actual &amp; Forecast'!V33-'BS Actual &amp; Forecast'!U33</f>
        <v>-37935.992006124696</v>
      </c>
      <c r="W19" s="24"/>
      <c r="X19" s="24"/>
      <c r="Y19" s="24"/>
      <c r="Z19" s="24"/>
      <c r="AA19" s="24"/>
      <c r="AB19" s="24"/>
      <c r="AC19" s="24">
        <f t="shared" si="1"/>
        <v>-324.30050636082888</v>
      </c>
    </row>
    <row r="20" spans="1:29" x14ac:dyDescent="0.15"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spans="1:29" x14ac:dyDescent="0.15">
      <c r="A21" t="s">
        <v>177</v>
      </c>
      <c r="C21" s="24">
        <f>SUM(C9:C19)</f>
        <v>101566.38900000005</v>
      </c>
      <c r="D21" s="24">
        <f>SUM(D9:D19)</f>
        <v>276694.03654620581</v>
      </c>
      <c r="E21" s="24">
        <f t="shared" ref="E21:O21" si="2">SUM(E9:E19)</f>
        <v>136884.45058898345</v>
      </c>
      <c r="F21" s="24">
        <f t="shared" si="2"/>
        <v>-276515.13262563106</v>
      </c>
      <c r="G21" s="24">
        <f t="shared" si="2"/>
        <v>293421.16244376323</v>
      </c>
      <c r="H21" s="24">
        <f t="shared" si="2"/>
        <v>290605.95808210247</v>
      </c>
      <c r="I21" s="24">
        <f t="shared" si="2"/>
        <v>150352.78020981824</v>
      </c>
      <c r="J21" s="24">
        <f t="shared" si="2"/>
        <v>641305.05142606725</v>
      </c>
      <c r="K21" s="24">
        <f t="shared" si="2"/>
        <v>-209420.67827523724</v>
      </c>
      <c r="L21" s="24">
        <f t="shared" si="2"/>
        <v>-208470.23949825543</v>
      </c>
      <c r="M21" s="24">
        <f t="shared" si="2"/>
        <v>48832.329211096105</v>
      </c>
      <c r="N21" s="24">
        <f t="shared" si="2"/>
        <v>-208253.61087233591</v>
      </c>
      <c r="O21" s="24">
        <f t="shared" si="2"/>
        <v>1037002.4962365769</v>
      </c>
      <c r="Q21" s="24">
        <f t="shared" ref="Q21:AC21" si="3">SUM(Q9:Q19)</f>
        <v>264968.892847082</v>
      </c>
      <c r="R21" s="24">
        <f t="shared" si="3"/>
        <v>453380.19907071092</v>
      </c>
      <c r="S21" s="24">
        <f t="shared" si="3"/>
        <v>323819.93295286607</v>
      </c>
      <c r="T21" s="24">
        <f t="shared" si="3"/>
        <v>-83204.158549814834</v>
      </c>
      <c r="U21" s="24">
        <f t="shared" si="3"/>
        <v>-54192.410925052245</v>
      </c>
      <c r="V21" s="24">
        <f t="shared" si="3"/>
        <v>-19674.244369267602</v>
      </c>
      <c r="W21" s="24">
        <f t="shared" si="3"/>
        <v>0</v>
      </c>
      <c r="X21" s="24">
        <f t="shared" ref="X21:AB21" si="4">SUM(X9:X19)</f>
        <v>0</v>
      </c>
      <c r="Y21" s="24">
        <f t="shared" si="4"/>
        <v>0</v>
      </c>
      <c r="Z21" s="24">
        <f t="shared" si="4"/>
        <v>0</v>
      </c>
      <c r="AA21" s="24">
        <f t="shared" si="4"/>
        <v>0</v>
      </c>
      <c r="AB21" s="24">
        <f t="shared" si="4"/>
        <v>0</v>
      </c>
      <c r="AC21" s="24">
        <f t="shared" si="3"/>
        <v>885098.21102652443</v>
      </c>
    </row>
    <row r="22" spans="1:29" x14ac:dyDescent="0.15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spans="1:29" x14ac:dyDescent="0.15">
      <c r="A23" s="54" t="s">
        <v>192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29" x14ac:dyDescent="0.15">
      <c r="A24" s="54" t="s">
        <v>189</v>
      </c>
      <c r="C24" s="23">
        <v>-23540</v>
      </c>
      <c r="D24" s="23">
        <f>+'BS Actual &amp; Forecast'!C20-'BS Actual &amp; Forecast'!D20</f>
        <v>0</v>
      </c>
      <c r="E24" s="23">
        <f>+'BS Actual &amp; Forecast'!D20-'BS Actual &amp; Forecast'!E20</f>
        <v>-15545</v>
      </c>
      <c r="F24" s="23">
        <f>+'BS Actual &amp; Forecast'!E20-'BS Actual &amp; Forecast'!F20</f>
        <v>0</v>
      </c>
      <c r="G24" s="23">
        <f>+'BS Actual &amp; Forecast'!F20-'BS Actual &amp; Forecast'!G20</f>
        <v>-3590</v>
      </c>
      <c r="H24" s="23">
        <f>+'BS Actual &amp; Forecast'!G20-'BS Actual &amp; Forecast'!H20</f>
        <v>0</v>
      </c>
      <c r="I24" s="23">
        <f>+'BS Actual &amp; Forecast'!H20-'BS Actual &amp; Forecast'!I20</f>
        <v>0</v>
      </c>
      <c r="J24" s="23">
        <f>+'BS Actual &amp; Forecast'!I20-'BS Actual &amp; Forecast'!J20</f>
        <v>-23989</v>
      </c>
      <c r="K24" s="23">
        <f>+'BS Actual &amp; Forecast'!J20-'BS Actual &amp; Forecast'!K20</f>
        <v>0</v>
      </c>
      <c r="L24" s="23">
        <f>+'BS Actual &amp; Forecast'!K20-'BS Actual &amp; Forecast'!L20</f>
        <v>-4470</v>
      </c>
      <c r="M24" s="23">
        <f>+'BS Actual &amp; Forecast'!L20-'BS Actual &amp; Forecast'!M20</f>
        <v>0</v>
      </c>
      <c r="N24" s="23">
        <f>+'BS Actual &amp; Forecast'!M20-'BS Actual &amp; Forecast'!N20</f>
        <v>0</v>
      </c>
      <c r="O24" s="35">
        <f t="shared" ref="O24" si="5">SUM(C24:N24)</f>
        <v>-71134</v>
      </c>
      <c r="Q24" s="23">
        <f>+'BS Actual &amp; Forecast'!N20-'BS Actual &amp; Forecast'!Q20</f>
        <v>-11250</v>
      </c>
      <c r="R24" s="23">
        <f>+'BS Actual &amp; Forecast'!Q20-'BS Actual &amp; Forecast'!R20</f>
        <v>0</v>
      </c>
      <c r="S24" s="23">
        <f>+'BS Actual &amp; Forecast'!R20-'BS Actual &amp; Forecast'!S20</f>
        <v>-18752</v>
      </c>
      <c r="T24" s="23">
        <f>+'BS Actual &amp; Forecast'!S20-'BS Actual &amp; Forecast'!T20</f>
        <v>0</v>
      </c>
      <c r="U24" s="23">
        <f>+'BS Actual &amp; Forecast'!T20-'BS Actual &amp; Forecast'!U20</f>
        <v>0</v>
      </c>
      <c r="V24" s="23">
        <f>+'BS Actual &amp; Forecast'!U20-'BS Actual &amp; Forecast'!V20</f>
        <v>0</v>
      </c>
      <c r="W24" s="23"/>
      <c r="X24" s="23"/>
      <c r="Y24" s="23"/>
      <c r="Z24" s="23"/>
      <c r="AA24" s="23"/>
      <c r="AB24" s="23"/>
      <c r="AC24" s="35">
        <f t="shared" ref="AC24" si="6">SUM(Q24:AB24)</f>
        <v>-30002</v>
      </c>
    </row>
    <row r="25" spans="1:29" x14ac:dyDescent="0.1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x14ac:dyDescent="0.1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</row>
    <row r="27" spans="1:29" x14ac:dyDescent="0.15">
      <c r="A27" s="54" t="s">
        <v>190</v>
      </c>
      <c r="C27" s="24">
        <f>SUM(C24:C25)</f>
        <v>-23540</v>
      </c>
      <c r="D27" s="24">
        <f>SUM(D24:D25)</f>
        <v>0</v>
      </c>
      <c r="E27" s="24">
        <f t="shared" ref="E27:O27" si="7">SUM(E24:E25)</f>
        <v>-15545</v>
      </c>
      <c r="F27" s="24">
        <f t="shared" si="7"/>
        <v>0</v>
      </c>
      <c r="G27" s="24">
        <f t="shared" si="7"/>
        <v>-3590</v>
      </c>
      <c r="H27" s="24">
        <f t="shared" si="7"/>
        <v>0</v>
      </c>
      <c r="I27" s="24">
        <f t="shared" si="7"/>
        <v>0</v>
      </c>
      <c r="J27" s="24">
        <f t="shared" si="7"/>
        <v>-23989</v>
      </c>
      <c r="K27" s="24">
        <f t="shared" si="7"/>
        <v>0</v>
      </c>
      <c r="L27" s="24">
        <f t="shared" si="7"/>
        <v>-4470</v>
      </c>
      <c r="M27" s="24">
        <f t="shared" si="7"/>
        <v>0</v>
      </c>
      <c r="N27" s="24">
        <f t="shared" si="7"/>
        <v>0</v>
      </c>
      <c r="O27" s="24">
        <f t="shared" si="7"/>
        <v>-71134</v>
      </c>
      <c r="Q27" s="24">
        <f t="shared" ref="Q27:AC27" si="8">SUM(Q24:Q25)</f>
        <v>-11250</v>
      </c>
      <c r="R27" s="24">
        <f t="shared" si="8"/>
        <v>0</v>
      </c>
      <c r="S27" s="24">
        <f t="shared" si="8"/>
        <v>-18752</v>
      </c>
      <c r="T27" s="24">
        <f t="shared" si="8"/>
        <v>0</v>
      </c>
      <c r="U27" s="24">
        <f t="shared" si="8"/>
        <v>0</v>
      </c>
      <c r="V27" s="24">
        <f t="shared" si="8"/>
        <v>0</v>
      </c>
      <c r="W27" s="24">
        <f t="shared" si="8"/>
        <v>0</v>
      </c>
      <c r="X27" s="24">
        <f t="shared" ref="X27:AB27" si="9">SUM(X24:X25)</f>
        <v>0</v>
      </c>
      <c r="Y27" s="24">
        <f t="shared" si="9"/>
        <v>0</v>
      </c>
      <c r="Z27" s="24">
        <f t="shared" si="9"/>
        <v>0</v>
      </c>
      <c r="AA27" s="24">
        <f t="shared" si="9"/>
        <v>0</v>
      </c>
      <c r="AB27" s="24">
        <f t="shared" si="9"/>
        <v>0</v>
      </c>
      <c r="AC27" s="24">
        <f t="shared" si="8"/>
        <v>-30002</v>
      </c>
    </row>
    <row r="28" spans="1:29" x14ac:dyDescent="0.1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spans="1:29" x14ac:dyDescent="0.15">
      <c r="A29" s="54" t="s">
        <v>191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spans="1:29" x14ac:dyDescent="0.15">
      <c r="A30" s="54" t="s">
        <v>193</v>
      </c>
      <c r="C30" s="23">
        <v>-5000</v>
      </c>
      <c r="D30" s="23">
        <f>+'BS Actual &amp; Forecast'!D37-'BS Actual &amp; Forecast'!C37</f>
        <v>-5000</v>
      </c>
      <c r="E30" s="23">
        <f>+'BS Actual &amp; Forecast'!E37-'BS Actual &amp; Forecast'!D37</f>
        <v>-5000</v>
      </c>
      <c r="F30" s="23">
        <f>+'BS Actual &amp; Forecast'!F37-'BS Actual &amp; Forecast'!E37</f>
        <v>-5000</v>
      </c>
      <c r="G30" s="23">
        <f>+'BS Actual &amp; Forecast'!G37-'BS Actual &amp; Forecast'!F37</f>
        <v>-5000</v>
      </c>
      <c r="H30" s="23">
        <f>+'BS Actual &amp; Forecast'!H37-'BS Actual &amp; Forecast'!G37</f>
        <v>-5000</v>
      </c>
      <c r="I30" s="23">
        <f>+'BS Actual &amp; Forecast'!I37-'BS Actual &amp; Forecast'!H37</f>
        <v>-5000</v>
      </c>
      <c r="J30" s="23">
        <f>+'BS Actual &amp; Forecast'!J37-'BS Actual &amp; Forecast'!I37</f>
        <v>-5000</v>
      </c>
      <c r="K30" s="23">
        <f>+'BS Actual &amp; Forecast'!K37-'BS Actual &amp; Forecast'!J37</f>
        <v>-5000</v>
      </c>
      <c r="L30" s="23">
        <f>+'BS Actual &amp; Forecast'!L37-'BS Actual &amp; Forecast'!K37</f>
        <v>-5000</v>
      </c>
      <c r="M30" s="23">
        <f>+'BS Actual &amp; Forecast'!M37-'BS Actual &amp; Forecast'!L37</f>
        <v>-5000</v>
      </c>
      <c r="N30" s="23">
        <f>+'BS Actual &amp; Forecast'!N37-'BS Actual &amp; Forecast'!M37</f>
        <v>-5000</v>
      </c>
      <c r="O30" s="35">
        <f t="shared" ref="O30:O31" si="10">SUM(C30:N30)</f>
        <v>-60000</v>
      </c>
      <c r="Q30" s="23">
        <f>+'BS Actual &amp; Forecast'!Q37-'BS Actual &amp; Forecast'!N37</f>
        <v>-5000</v>
      </c>
      <c r="R30" s="23">
        <f>+'BS Actual &amp; Forecast'!R37-'BS Actual &amp; Forecast'!Q37</f>
        <v>-5000</v>
      </c>
      <c r="S30" s="23">
        <f>+'BS Actual &amp; Forecast'!S37-'BS Actual &amp; Forecast'!R37</f>
        <v>-5000</v>
      </c>
      <c r="T30" s="23">
        <f>+'BS Actual &amp; Forecast'!T37-'BS Actual &amp; Forecast'!S37</f>
        <v>-5000</v>
      </c>
      <c r="U30" s="23">
        <f>+'BS Actual &amp; Forecast'!U37-'BS Actual &amp; Forecast'!T37</f>
        <v>-5000</v>
      </c>
      <c r="V30" s="23">
        <f>+'BS Actual &amp; Forecast'!V37-'BS Actual &amp; Forecast'!U37</f>
        <v>-5000</v>
      </c>
      <c r="W30" s="23"/>
      <c r="X30" s="23"/>
      <c r="Y30" s="23"/>
      <c r="Z30" s="23"/>
      <c r="AA30" s="23"/>
      <c r="AB30" s="23"/>
      <c r="AC30" s="35">
        <f t="shared" ref="AC30:AC31" si="11">SUM(Q30:AB30)</f>
        <v>-30000</v>
      </c>
    </row>
    <row r="31" spans="1:29" x14ac:dyDescent="0.15">
      <c r="A31" s="54" t="s">
        <v>194</v>
      </c>
      <c r="C31" s="24">
        <v>-175000</v>
      </c>
      <c r="D31" s="24">
        <f>+'BS Actual &amp; Forecast'!D41-'BS Actual &amp; Forecast'!C41</f>
        <v>-75000</v>
      </c>
      <c r="E31" s="24">
        <f>+'BS Actual &amp; Forecast'!E41-'BS Actual &amp; Forecast'!D41</f>
        <v>-75000</v>
      </c>
      <c r="F31" s="24">
        <f>+'BS Actual &amp; Forecast'!F41-'BS Actual &amp; Forecast'!E41</f>
        <v>-75000</v>
      </c>
      <c r="G31" s="24">
        <f>+'BS Actual &amp; Forecast'!G41-'BS Actual &amp; Forecast'!F41</f>
        <v>-75000</v>
      </c>
      <c r="H31" s="24">
        <f>+'BS Actual &amp; Forecast'!H41-'BS Actual &amp; Forecast'!G41</f>
        <v>-75000</v>
      </c>
      <c r="I31" s="24">
        <f>+'BS Actual &amp; Forecast'!I41-'BS Actual &amp; Forecast'!H41</f>
        <v>-75000</v>
      </c>
      <c r="J31" s="24">
        <f>+'BS Actual &amp; Forecast'!J41-'BS Actual &amp; Forecast'!I41</f>
        <v>-75000</v>
      </c>
      <c r="K31" s="24">
        <f>+'BS Actual &amp; Forecast'!K41-'BS Actual &amp; Forecast'!J41</f>
        <v>-75000</v>
      </c>
      <c r="L31" s="24">
        <f>+'BS Actual &amp; Forecast'!L41-'BS Actual &amp; Forecast'!K41</f>
        <v>-75000</v>
      </c>
      <c r="M31" s="24">
        <f>+'BS Actual &amp; Forecast'!M41-'BS Actual &amp; Forecast'!L41</f>
        <v>-75000</v>
      </c>
      <c r="N31" s="24">
        <f>+'BS Actual &amp; Forecast'!N41-'BS Actual &amp; Forecast'!M41</f>
        <v>-400000</v>
      </c>
      <c r="O31" s="24">
        <f t="shared" si="10"/>
        <v>-1325000</v>
      </c>
      <c r="Q31" s="24">
        <f>+'BS Actual &amp; Forecast'!Q41-'BS Actual &amp; Forecast'!N41</f>
        <v>-100000</v>
      </c>
      <c r="R31" s="24">
        <f>+'BS Actual &amp; Forecast'!R41-'BS Actual &amp; Forecast'!Q41</f>
        <v>-100000</v>
      </c>
      <c r="S31" s="24">
        <f>+'BS Actual &amp; Forecast'!S41-'BS Actual &amp; Forecast'!R41</f>
        <v>-100000</v>
      </c>
      <c r="T31" s="24">
        <f>+'BS Actual &amp; Forecast'!T41-'BS Actual &amp; Forecast'!S41</f>
        <v>-100000</v>
      </c>
      <c r="U31" s="24">
        <f>+'BS Actual &amp; Forecast'!U41-'BS Actual &amp; Forecast'!T41</f>
        <v>-100000</v>
      </c>
      <c r="V31" s="24">
        <f>+'BS Actual &amp; Forecast'!V41-'BS Actual &amp; Forecast'!U41</f>
        <v>-100000</v>
      </c>
      <c r="W31" s="24"/>
      <c r="X31" s="24"/>
      <c r="Y31" s="24"/>
      <c r="Z31" s="24"/>
      <c r="AA31" s="24"/>
      <c r="AB31" s="24"/>
      <c r="AC31" s="24">
        <f t="shared" si="11"/>
        <v>-600000</v>
      </c>
    </row>
    <row r="32" spans="1:29" x14ac:dyDescent="0.1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x14ac:dyDescent="0.15">
      <c r="A33" s="54" t="s">
        <v>195</v>
      </c>
      <c r="C33" s="24">
        <f>SUM(C30:C31)</f>
        <v>-180000</v>
      </c>
      <c r="D33" s="24">
        <f>SUM(D30:D31)</f>
        <v>-80000</v>
      </c>
      <c r="E33" s="24">
        <f t="shared" ref="E33:O33" si="12">SUM(E30:E31)</f>
        <v>-80000</v>
      </c>
      <c r="F33" s="24">
        <f t="shared" si="12"/>
        <v>-80000</v>
      </c>
      <c r="G33" s="24">
        <f t="shared" si="12"/>
        <v>-80000</v>
      </c>
      <c r="H33" s="24">
        <f t="shared" si="12"/>
        <v>-80000</v>
      </c>
      <c r="I33" s="24">
        <f t="shared" si="12"/>
        <v>-80000</v>
      </c>
      <c r="J33" s="24">
        <f t="shared" si="12"/>
        <v>-80000</v>
      </c>
      <c r="K33" s="24">
        <f t="shared" si="12"/>
        <v>-80000</v>
      </c>
      <c r="L33" s="24">
        <f t="shared" si="12"/>
        <v>-80000</v>
      </c>
      <c r="M33" s="24">
        <f t="shared" si="12"/>
        <v>-80000</v>
      </c>
      <c r="N33" s="24">
        <f t="shared" si="12"/>
        <v>-405000</v>
      </c>
      <c r="O33" s="24">
        <f t="shared" si="12"/>
        <v>-1385000</v>
      </c>
      <c r="Q33" s="24">
        <f t="shared" ref="Q33:AC33" si="13">SUM(Q30:Q31)</f>
        <v>-105000</v>
      </c>
      <c r="R33" s="24">
        <f t="shared" si="13"/>
        <v>-105000</v>
      </c>
      <c r="S33" s="24">
        <f t="shared" si="13"/>
        <v>-105000</v>
      </c>
      <c r="T33" s="24">
        <f t="shared" si="13"/>
        <v>-105000</v>
      </c>
      <c r="U33" s="24">
        <f t="shared" si="13"/>
        <v>-105000</v>
      </c>
      <c r="V33" s="24">
        <f t="shared" si="13"/>
        <v>-105000</v>
      </c>
      <c r="W33" s="24">
        <f t="shared" si="13"/>
        <v>0</v>
      </c>
      <c r="X33" s="24">
        <f t="shared" ref="X33:AB33" si="14">SUM(X30:X31)</f>
        <v>0</v>
      </c>
      <c r="Y33" s="24">
        <f t="shared" si="14"/>
        <v>0</v>
      </c>
      <c r="Z33" s="24">
        <f t="shared" si="14"/>
        <v>0</v>
      </c>
      <c r="AA33" s="24">
        <f t="shared" si="14"/>
        <v>0</v>
      </c>
      <c r="AB33" s="24">
        <f t="shared" si="14"/>
        <v>0</v>
      </c>
      <c r="AC33" s="24">
        <f t="shared" si="13"/>
        <v>-630000</v>
      </c>
    </row>
    <row r="34" spans="1:29" x14ac:dyDescent="0.15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spans="1:29" x14ac:dyDescent="0.1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 x14ac:dyDescent="0.15">
      <c r="A36" s="54" t="s">
        <v>196</v>
      </c>
      <c r="C36" s="23">
        <f>+C21+C27+C33</f>
        <v>-101973.61099999995</v>
      </c>
      <c r="D36" s="23">
        <f>+D21+D27+D33</f>
        <v>196694.03654620581</v>
      </c>
      <c r="E36" s="23">
        <f t="shared" ref="E36:O36" si="15">+E21+E27+E33</f>
        <v>41339.450588983455</v>
      </c>
      <c r="F36" s="23">
        <f t="shared" si="15"/>
        <v>-356515.13262563106</v>
      </c>
      <c r="G36" s="23">
        <f t="shared" si="15"/>
        <v>209831.16244376323</v>
      </c>
      <c r="H36" s="23">
        <f t="shared" si="15"/>
        <v>210605.95808210247</v>
      </c>
      <c r="I36" s="23">
        <f t="shared" si="15"/>
        <v>70352.780209818244</v>
      </c>
      <c r="J36" s="23">
        <f t="shared" si="15"/>
        <v>537316.05142606725</v>
      </c>
      <c r="K36" s="23">
        <f t="shared" si="15"/>
        <v>-289420.67827523721</v>
      </c>
      <c r="L36" s="23">
        <f t="shared" si="15"/>
        <v>-292940.23949825543</v>
      </c>
      <c r="M36" s="23">
        <f t="shared" si="15"/>
        <v>-31167.670788903895</v>
      </c>
      <c r="N36" s="23">
        <f t="shared" si="15"/>
        <v>-613253.61087233596</v>
      </c>
      <c r="O36" s="23">
        <f t="shared" si="15"/>
        <v>-419131.50376342307</v>
      </c>
      <c r="Q36" s="23">
        <f t="shared" ref="Q36:AC36" si="16">+Q21+Q27+Q33</f>
        <v>148718.892847082</v>
      </c>
      <c r="R36" s="23">
        <f t="shared" si="16"/>
        <v>348380.19907071092</v>
      </c>
      <c r="S36" s="23">
        <f t="shared" si="16"/>
        <v>200067.93295286607</v>
      </c>
      <c r="T36" s="23">
        <f t="shared" si="16"/>
        <v>-188204.15854981483</v>
      </c>
      <c r="U36" s="23">
        <f t="shared" si="16"/>
        <v>-159192.41092505225</v>
      </c>
      <c r="V36" s="23">
        <f t="shared" si="16"/>
        <v>-124674.2443692676</v>
      </c>
      <c r="W36" s="23">
        <f t="shared" si="16"/>
        <v>0</v>
      </c>
      <c r="X36" s="23">
        <f t="shared" ref="X36:AB36" si="17">+X21+X27+X33</f>
        <v>0</v>
      </c>
      <c r="Y36" s="23">
        <f t="shared" si="17"/>
        <v>0</v>
      </c>
      <c r="Z36" s="23">
        <f t="shared" si="17"/>
        <v>0</v>
      </c>
      <c r="AA36" s="23">
        <f t="shared" si="17"/>
        <v>0</v>
      </c>
      <c r="AB36" s="23">
        <f t="shared" si="17"/>
        <v>0</v>
      </c>
      <c r="AC36" s="23">
        <f t="shared" si="16"/>
        <v>225096.21102652443</v>
      </c>
    </row>
    <row r="38" spans="1:29" x14ac:dyDescent="0.15">
      <c r="A38" s="54" t="s">
        <v>197</v>
      </c>
      <c r="C38" s="24">
        <f>1208785+25000+11659</f>
        <v>1245444</v>
      </c>
      <c r="D38" s="24">
        <f>+C40</f>
        <v>1143470.389</v>
      </c>
      <c r="E38" s="24">
        <f t="shared" ref="E38:N38" si="18">+D40</f>
        <v>1340164.4255462058</v>
      </c>
      <c r="F38" s="24">
        <f t="shared" si="18"/>
        <v>1381503.8761351893</v>
      </c>
      <c r="G38" s="24">
        <f t="shared" si="18"/>
        <v>1024988.7435095583</v>
      </c>
      <c r="H38" s="24">
        <f t="shared" si="18"/>
        <v>1234819.9059533216</v>
      </c>
      <c r="I38" s="24">
        <f t="shared" si="18"/>
        <v>1445425.8640354241</v>
      </c>
      <c r="J38" s="24">
        <f t="shared" si="18"/>
        <v>1515778.6442452422</v>
      </c>
      <c r="K38" s="24">
        <f t="shared" si="18"/>
        <v>2053094.6956713095</v>
      </c>
      <c r="L38" s="24">
        <f t="shared" si="18"/>
        <v>1763674.0173960724</v>
      </c>
      <c r="M38" s="24">
        <f t="shared" si="18"/>
        <v>1470733.7778978171</v>
      </c>
      <c r="N38" s="24">
        <f t="shared" si="18"/>
        <v>1439566.1071089131</v>
      </c>
      <c r="O38" s="24">
        <f>+C38</f>
        <v>1245444</v>
      </c>
      <c r="Q38" s="24">
        <f>+N40</f>
        <v>826312.49623657716</v>
      </c>
      <c r="R38" s="24">
        <f t="shared" ref="R38:AB38" si="19">+Q40</f>
        <v>975031.38908365916</v>
      </c>
      <c r="S38" s="24">
        <f t="shared" si="19"/>
        <v>1323411.58815437</v>
      </c>
      <c r="T38" s="24">
        <f t="shared" si="19"/>
        <v>1523479.5211072359</v>
      </c>
      <c r="U38" s="24">
        <f t="shared" si="19"/>
        <v>1335275.362557421</v>
      </c>
      <c r="V38" s="24">
        <f t="shared" si="19"/>
        <v>1176082.9516323688</v>
      </c>
      <c r="W38" s="24">
        <f t="shared" si="19"/>
        <v>1051408.7072631014</v>
      </c>
      <c r="X38" s="24">
        <f t="shared" si="19"/>
        <v>1051408.7072631014</v>
      </c>
      <c r="Y38" s="24">
        <f t="shared" si="19"/>
        <v>1051408.7072631014</v>
      </c>
      <c r="Z38" s="24">
        <f t="shared" si="19"/>
        <v>1051408.7072631014</v>
      </c>
      <c r="AA38" s="24">
        <f t="shared" si="19"/>
        <v>1051408.7072631014</v>
      </c>
      <c r="AB38" s="24">
        <f t="shared" si="19"/>
        <v>1051408.7072631014</v>
      </c>
      <c r="AC38" s="24">
        <f>+Q38</f>
        <v>826312.49623657716</v>
      </c>
    </row>
    <row r="40" spans="1:29" ht="14" thickBot="1" x14ac:dyDescent="0.2">
      <c r="A40" s="54" t="s">
        <v>198</v>
      </c>
      <c r="C40" s="93">
        <f>+C36+C38</f>
        <v>1143470.389</v>
      </c>
      <c r="D40" s="93">
        <f>+D36+D38</f>
        <v>1340164.4255462058</v>
      </c>
      <c r="E40" s="93">
        <f t="shared" ref="E40:O40" si="20">+E36+E38</f>
        <v>1381503.8761351893</v>
      </c>
      <c r="F40" s="93">
        <f t="shared" si="20"/>
        <v>1024988.7435095583</v>
      </c>
      <c r="G40" s="93">
        <f t="shared" si="20"/>
        <v>1234819.9059533216</v>
      </c>
      <c r="H40" s="93">
        <f t="shared" si="20"/>
        <v>1445425.8640354241</v>
      </c>
      <c r="I40" s="93">
        <f t="shared" si="20"/>
        <v>1515778.6442452422</v>
      </c>
      <c r="J40" s="93">
        <f t="shared" si="20"/>
        <v>2053094.6956713095</v>
      </c>
      <c r="K40" s="93">
        <f t="shared" si="20"/>
        <v>1763674.0173960724</v>
      </c>
      <c r="L40" s="93">
        <f t="shared" si="20"/>
        <v>1470733.7778978171</v>
      </c>
      <c r="M40" s="93">
        <f t="shared" si="20"/>
        <v>1439566.1071089131</v>
      </c>
      <c r="N40" s="93">
        <f t="shared" si="20"/>
        <v>826312.49623657716</v>
      </c>
      <c r="O40" s="93">
        <f t="shared" si="20"/>
        <v>826312.49623657693</v>
      </c>
      <c r="Q40" s="93">
        <f t="shared" ref="Q40:AC40" si="21">+Q36+Q38</f>
        <v>975031.38908365916</v>
      </c>
      <c r="R40" s="93">
        <f t="shared" si="21"/>
        <v>1323411.58815437</v>
      </c>
      <c r="S40" s="93">
        <f t="shared" si="21"/>
        <v>1523479.5211072359</v>
      </c>
      <c r="T40" s="93">
        <f t="shared" si="21"/>
        <v>1335275.362557421</v>
      </c>
      <c r="U40" s="93">
        <f t="shared" si="21"/>
        <v>1176082.9516323688</v>
      </c>
      <c r="V40" s="93">
        <f t="shared" si="21"/>
        <v>1051408.7072631014</v>
      </c>
      <c r="W40" s="93">
        <f t="shared" si="21"/>
        <v>1051408.7072631014</v>
      </c>
      <c r="X40" s="93">
        <f t="shared" si="21"/>
        <v>1051408.7072631014</v>
      </c>
      <c r="Y40" s="93">
        <f t="shared" si="21"/>
        <v>1051408.7072631014</v>
      </c>
      <c r="Z40" s="93">
        <f t="shared" si="21"/>
        <v>1051408.7072631014</v>
      </c>
      <c r="AA40" s="93">
        <f t="shared" si="21"/>
        <v>1051408.7072631014</v>
      </c>
      <c r="AB40" s="93">
        <f t="shared" si="21"/>
        <v>1051408.7072631014</v>
      </c>
      <c r="AC40" s="93">
        <f t="shared" si="21"/>
        <v>1051408.7072631016</v>
      </c>
    </row>
    <row r="41" spans="1:29" ht="14" thickTop="1" x14ac:dyDescent="0.15"/>
    <row r="43" spans="1:29" x14ac:dyDescent="0.15">
      <c r="A43" s="54" t="s">
        <v>199</v>
      </c>
      <c r="C43" s="31">
        <f>+'BS Actual &amp; Forecast'!C10</f>
        <v>1143470.5249999999</v>
      </c>
      <c r="D43" s="31">
        <f>+'BS Actual &amp; Forecast'!D10</f>
        <v>1340164.5615462058</v>
      </c>
      <c r="E43" s="31">
        <f>+'BS Actual &amp; Forecast'!E10</f>
        <v>1381504.0121351893</v>
      </c>
      <c r="F43" s="31">
        <f>+'BS Actual &amp; Forecast'!F10</f>
        <v>1024988.879509558</v>
      </c>
      <c r="G43" s="31">
        <f>+'BS Actual &amp; Forecast'!G10</f>
        <v>1234820.0419533211</v>
      </c>
      <c r="H43" s="31">
        <f>+'BS Actual &amp; Forecast'!H10</f>
        <v>1445426.0000354236</v>
      </c>
      <c r="I43" s="31">
        <f>+'BS Actual &amp; Forecast'!I10</f>
        <v>1515778.7802452419</v>
      </c>
      <c r="J43" s="31">
        <f>+'BS Actual &amp; Forecast'!J10</f>
        <v>2053094.8316713092</v>
      </c>
      <c r="K43" s="31">
        <f>+'BS Actual &amp; Forecast'!K10</f>
        <v>1763674.1533960719</v>
      </c>
      <c r="L43" s="31">
        <f>+'BS Actual &amp; Forecast'!L10</f>
        <v>1470733.9138978163</v>
      </c>
      <c r="M43" s="31">
        <f>+'BS Actual &amp; Forecast'!M10</f>
        <v>1439566.2431089126</v>
      </c>
      <c r="N43" s="31">
        <f>+'BS Actual &amp; Forecast'!N10</f>
        <v>826312.63223657687</v>
      </c>
      <c r="O43" s="31">
        <f>+N43</f>
        <v>826312.63223657687</v>
      </c>
      <c r="Q43" s="31">
        <f>+'BS Actual &amp; Forecast'!Q10</f>
        <v>975031.52508366399</v>
      </c>
      <c r="R43" s="31">
        <f>+'BS Actual &amp; Forecast'!R10</f>
        <v>1323411.724154375</v>
      </c>
      <c r="S43" s="31">
        <f>+'BS Actual &amp; Forecast'!S10</f>
        <v>1523479.6571072412</v>
      </c>
      <c r="T43" s="31">
        <f>+'BS Actual &amp; Forecast'!T10</f>
        <v>1335275.4985574265</v>
      </c>
      <c r="U43" s="31">
        <f>+'BS Actual &amp; Forecast'!U10</f>
        <v>1176083.0876323741</v>
      </c>
      <c r="V43" s="31">
        <f>+'BS Actual &amp; Forecast'!V10</f>
        <v>1051408.8432631069</v>
      </c>
      <c r="W43" s="31"/>
      <c r="X43" s="31"/>
      <c r="Y43" s="31"/>
      <c r="Z43" s="31"/>
      <c r="AA43" s="31"/>
      <c r="AB43" s="31"/>
      <c r="AC43" s="31"/>
    </row>
    <row r="44" spans="1:29" x14ac:dyDescent="0.15">
      <c r="A44" s="54" t="s">
        <v>200</v>
      </c>
      <c r="C44" s="23">
        <f>+C43-C40</f>
        <v>0.13599999994039536</v>
      </c>
      <c r="D44" s="23">
        <f>+D43-D40</f>
        <v>0.13599999994039536</v>
      </c>
      <c r="E44" s="23">
        <f t="shared" ref="E44:O44" si="22">+E43-E40</f>
        <v>0.13599999994039536</v>
      </c>
      <c r="F44" s="23">
        <f t="shared" si="22"/>
        <v>0.13599999970756471</v>
      </c>
      <c r="G44" s="23">
        <f t="shared" si="22"/>
        <v>0.13599999947473407</v>
      </c>
      <c r="H44" s="23">
        <f t="shared" si="22"/>
        <v>0.13599999947473407</v>
      </c>
      <c r="I44" s="23">
        <f t="shared" si="22"/>
        <v>0.13599999970756471</v>
      </c>
      <c r="J44" s="23">
        <f t="shared" si="22"/>
        <v>0.13599999970756471</v>
      </c>
      <c r="K44" s="23">
        <f t="shared" si="22"/>
        <v>0.13599999947473407</v>
      </c>
      <c r="L44" s="23">
        <f t="shared" si="22"/>
        <v>0.13599999924190342</v>
      </c>
      <c r="M44" s="23">
        <f t="shared" si="22"/>
        <v>0.13599999947473407</v>
      </c>
      <c r="N44" s="23">
        <f t="shared" si="22"/>
        <v>0.13599999970756471</v>
      </c>
      <c r="O44" s="23">
        <f t="shared" si="22"/>
        <v>0.13599999994039536</v>
      </c>
      <c r="Q44" s="23">
        <f t="shared" ref="Q44:V44" si="23">+Q43-Q40</f>
        <v>0.13600000482983887</v>
      </c>
      <c r="R44" s="23">
        <f t="shared" si="23"/>
        <v>0.13600000506266952</v>
      </c>
      <c r="S44" s="23">
        <f t="shared" si="23"/>
        <v>0.13600000529550016</v>
      </c>
      <c r="T44" s="23">
        <f t="shared" si="23"/>
        <v>0.1360000055283308</v>
      </c>
      <c r="U44" s="23">
        <f t="shared" si="23"/>
        <v>0.13600000529550016</v>
      </c>
      <c r="V44" s="23">
        <f t="shared" si="23"/>
        <v>0.1360000055283308</v>
      </c>
      <c r="W44" s="31"/>
      <c r="X44" s="31"/>
      <c r="Y44" s="31"/>
      <c r="Z44" s="31"/>
      <c r="AA44" s="31"/>
      <c r="AB44" s="31"/>
      <c r="AC44" s="31"/>
    </row>
  </sheetData>
  <pageMargins left="0.7" right="0.7" top="0.75" bottom="0.75" header="0.3" footer="0.3"/>
  <pageSetup scale="52" orientation="landscape"/>
  <colBreaks count="2" manualBreakCount="2">
    <brk id="16" max="43" man="1"/>
    <brk id="29" max="43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AQ75"/>
  <sheetViews>
    <sheetView workbookViewId="0">
      <pane xSplit="2" ySplit="7" topLeftCell="C8" activePane="bottomRight" state="frozen"/>
      <selection activeCell="J61" sqref="J61"/>
      <selection pane="topRight" activeCell="J61" sqref="J61"/>
      <selection pane="bottomLeft" activeCell="J61" sqref="J61"/>
      <selection pane="bottomRight" activeCell="J61" sqref="J61"/>
    </sheetView>
  </sheetViews>
  <sheetFormatPr baseColWidth="10" defaultColWidth="8.83203125" defaultRowHeight="13" outlineLevelCol="1" x14ac:dyDescent="0.15"/>
  <cols>
    <col min="1" max="1" width="33" customWidth="1"/>
    <col min="2" max="2" width="8.5" customWidth="1"/>
    <col min="3" max="7" width="11.33203125" customWidth="1" outlineLevel="1"/>
    <col min="8" max="8" width="11.5" customWidth="1" outlineLevel="1"/>
    <col min="9" max="11" width="11.33203125" customWidth="1" outlineLevel="1"/>
    <col min="12" max="13" width="11.83203125" customWidth="1" outlineLevel="1"/>
    <col min="14" max="14" width="11.33203125" customWidth="1" outlineLevel="1"/>
    <col min="15" max="15" width="11.33203125" bestFit="1" customWidth="1"/>
    <col min="16" max="16" width="2" customWidth="1"/>
    <col min="17" max="21" width="11.33203125" bestFit="1" customWidth="1" outlineLevel="1"/>
    <col min="22" max="22" width="11.5" customWidth="1" outlineLevel="1"/>
    <col min="23" max="27" width="11.33203125" bestFit="1" customWidth="1" outlineLevel="1"/>
    <col min="28" max="28" width="12.33203125" bestFit="1" customWidth="1" outlineLevel="1"/>
    <col min="29" max="29" width="11.5" bestFit="1" customWidth="1"/>
    <col min="30" max="30" width="2.6640625" customWidth="1"/>
    <col min="31" max="31" width="13.6640625" customWidth="1" outlineLevel="1"/>
    <col min="32" max="35" width="11.1640625" bestFit="1" customWidth="1" outlineLevel="1"/>
    <col min="36" max="36" width="11" customWidth="1" outlineLevel="1"/>
    <col min="37" max="42" width="11.1640625" bestFit="1" customWidth="1" outlineLevel="1"/>
    <col min="43" max="43" width="12.1640625" bestFit="1" customWidth="1"/>
  </cols>
  <sheetData>
    <row r="1" spans="1:43" x14ac:dyDescent="0.15">
      <c r="A1" s="1" t="str">
        <f>+'IS Actual &amp; Forecast'!A1</f>
        <v>ABC Construction Company</v>
      </c>
    </row>
    <row r="2" spans="1:43" ht="20" x14ac:dyDescent="0.2">
      <c r="A2" s="2" t="s">
        <v>0</v>
      </c>
      <c r="H2" s="38" t="s">
        <v>82</v>
      </c>
      <c r="V2" s="38" t="s">
        <v>84</v>
      </c>
      <c r="AJ2" s="38" t="s">
        <v>90</v>
      </c>
    </row>
    <row r="3" spans="1:43" x14ac:dyDescent="0.15">
      <c r="A3" s="1"/>
    </row>
    <row r="4" spans="1:43" ht="14" x14ac:dyDescent="0.2">
      <c r="A4" s="1"/>
      <c r="C4" s="27" t="s">
        <v>51</v>
      </c>
      <c r="D4" s="27" t="s">
        <v>51</v>
      </c>
      <c r="E4" s="27" t="s">
        <v>51</v>
      </c>
      <c r="F4" s="27" t="s">
        <v>51</v>
      </c>
      <c r="G4" s="27" t="s">
        <v>51</v>
      </c>
      <c r="H4" s="27" t="s">
        <v>51</v>
      </c>
      <c r="I4" s="27" t="s">
        <v>51</v>
      </c>
    </row>
    <row r="5" spans="1:43" ht="14" x14ac:dyDescent="0.2">
      <c r="C5" s="27"/>
      <c r="D5" s="27"/>
      <c r="E5" s="27"/>
      <c r="F5" s="27"/>
      <c r="G5" s="27"/>
      <c r="H5" s="27"/>
      <c r="I5" s="27"/>
    </row>
    <row r="6" spans="1:43" x14ac:dyDescent="0.15">
      <c r="A6" s="3"/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  <c r="W6" s="47" t="s">
        <v>99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 t="s">
        <v>99</v>
      </c>
      <c r="AD6" s="36"/>
      <c r="AE6" s="47" t="s">
        <v>99</v>
      </c>
      <c r="AF6" s="47" t="s">
        <v>99</v>
      </c>
      <c r="AG6" s="47" t="s">
        <v>99</v>
      </c>
      <c r="AH6" s="47" t="s">
        <v>99</v>
      </c>
      <c r="AI6" s="47" t="s">
        <v>99</v>
      </c>
      <c r="AJ6" s="47" t="s">
        <v>99</v>
      </c>
      <c r="AK6" s="47" t="s">
        <v>99</v>
      </c>
      <c r="AL6" s="47" t="s">
        <v>99</v>
      </c>
      <c r="AM6" s="47" t="s">
        <v>99</v>
      </c>
      <c r="AN6" s="47" t="s">
        <v>99</v>
      </c>
      <c r="AO6" s="47" t="s">
        <v>99</v>
      </c>
      <c r="AP6" s="47" t="s">
        <v>99</v>
      </c>
      <c r="AQ6" s="47" t="s">
        <v>99</v>
      </c>
    </row>
    <row r="7" spans="1:43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4" t="s">
        <v>84</v>
      </c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  <c r="AQ7" s="4" t="s">
        <v>90</v>
      </c>
    </row>
    <row r="8" spans="1:43" x14ac:dyDescent="0.1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x14ac:dyDescent="0.15">
      <c r="A9" s="1" t="s">
        <v>13</v>
      </c>
      <c r="C9" s="5">
        <v>1200000</v>
      </c>
      <c r="D9" s="5">
        <f t="shared" ref="D9:N9" si="0">+C72</f>
        <v>1143470.5249999999</v>
      </c>
      <c r="E9" s="5">
        <f t="shared" si="0"/>
        <v>1340164.5615462058</v>
      </c>
      <c r="F9" s="5">
        <f t="shared" si="0"/>
        <v>1381504.0121351893</v>
      </c>
      <c r="G9" s="5">
        <f t="shared" si="0"/>
        <v>1024988.879509558</v>
      </c>
      <c r="H9" s="5">
        <f t="shared" si="0"/>
        <v>1234820.0419533211</v>
      </c>
      <c r="I9" s="5">
        <f t="shared" si="0"/>
        <v>1445426.0000354236</v>
      </c>
      <c r="J9" s="5">
        <f t="shared" si="0"/>
        <v>1515778.7802452419</v>
      </c>
      <c r="K9" s="5">
        <f t="shared" si="0"/>
        <v>2053094.8316713092</v>
      </c>
      <c r="L9" s="5">
        <f t="shared" si="0"/>
        <v>1763674.1533960719</v>
      </c>
      <c r="M9" s="5">
        <f t="shared" si="0"/>
        <v>1470733.9138978163</v>
      </c>
      <c r="N9" s="5">
        <f t="shared" si="0"/>
        <v>1439566.2431089126</v>
      </c>
      <c r="O9" s="5">
        <f>+C9</f>
        <v>1200000</v>
      </c>
      <c r="Q9" s="5">
        <f>+O72</f>
        <v>826312.63223658199</v>
      </c>
      <c r="R9" s="5">
        <f t="shared" ref="R9:AB9" si="1">+Q72</f>
        <v>975031.52508366399</v>
      </c>
      <c r="S9" s="5">
        <f t="shared" si="1"/>
        <v>1323411.724154375</v>
      </c>
      <c r="T9" s="5">
        <f t="shared" si="1"/>
        <v>1523479.6571072412</v>
      </c>
      <c r="U9" s="5">
        <f t="shared" si="1"/>
        <v>1335275.4985574265</v>
      </c>
      <c r="V9" s="5">
        <f t="shared" si="1"/>
        <v>1176083.0876323741</v>
      </c>
      <c r="W9" s="5">
        <f t="shared" si="1"/>
        <v>1051408.8432631069</v>
      </c>
      <c r="X9" s="5">
        <f t="shared" si="1"/>
        <v>1254187.6961169946</v>
      </c>
      <c r="Y9" s="5">
        <f t="shared" si="1"/>
        <v>1165844.3756070908</v>
      </c>
      <c r="Z9" s="5">
        <f t="shared" si="1"/>
        <v>1133264.3356445113</v>
      </c>
      <c r="AA9" s="5">
        <f t="shared" si="1"/>
        <v>560804.4638041337</v>
      </c>
      <c r="AB9" s="5">
        <f t="shared" si="1"/>
        <v>813696.84187758435</v>
      </c>
      <c r="AC9" s="5">
        <f>+Q9</f>
        <v>826312.63223658199</v>
      </c>
      <c r="AE9" s="5">
        <f>+AC72</f>
        <v>731684.65382054681</v>
      </c>
      <c r="AF9" s="5">
        <f t="shared" ref="AF9:AP9" si="2">+AE72</f>
        <v>376231.20845885004</v>
      </c>
      <c r="AG9" s="5">
        <f t="shared" si="2"/>
        <v>756785.42740221124</v>
      </c>
      <c r="AH9" s="5">
        <f t="shared" si="2"/>
        <v>1626351.0324124354</v>
      </c>
      <c r="AI9" s="5">
        <f t="shared" si="2"/>
        <v>2327430.6976593062</v>
      </c>
      <c r="AJ9" s="5">
        <f t="shared" si="2"/>
        <v>2536303.172520258</v>
      </c>
      <c r="AK9" s="5">
        <f t="shared" si="2"/>
        <v>2478824.0238812566</v>
      </c>
      <c r="AL9" s="5">
        <f t="shared" si="2"/>
        <v>2248155.3767422223</v>
      </c>
      <c r="AM9" s="5">
        <f t="shared" si="2"/>
        <v>1956227.8048164956</v>
      </c>
      <c r="AN9" s="5">
        <f t="shared" si="2"/>
        <v>1710970.1990402774</v>
      </c>
      <c r="AO9" s="5">
        <f t="shared" si="2"/>
        <v>1738996.2862710957</v>
      </c>
      <c r="AP9" s="5">
        <f t="shared" si="2"/>
        <v>1812723.9630548502</v>
      </c>
      <c r="AQ9" s="5">
        <f>+AE9</f>
        <v>731684.65382054681</v>
      </c>
    </row>
    <row r="10" spans="1:43" x14ac:dyDescent="0.1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15">
      <c r="A11" s="7" t="s">
        <v>14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hidden="1" x14ac:dyDescent="0.15">
      <c r="A12" s="9" t="s">
        <v>15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idden="1" x14ac:dyDescent="0.15">
      <c r="A13" s="1" t="s">
        <v>16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>
        <f>SUM(C13:N13)</f>
        <v>0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>
        <f>SUM(Q13:AB13)</f>
        <v>0</v>
      </c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>
        <f>SUM(AE13:AP13)</f>
        <v>0</v>
      </c>
    </row>
    <row r="14" spans="1:43" hidden="1" x14ac:dyDescent="0.15">
      <c r="A14" s="1" t="s">
        <v>17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>SUM(C14:N14)</f>
        <v>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>
        <f>SUM(Q14:AB14)</f>
        <v>0</v>
      </c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>
        <f>SUM(AE14:AP14)</f>
        <v>0</v>
      </c>
    </row>
    <row r="15" spans="1:43" hidden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idden="1" x14ac:dyDescent="0.15">
      <c r="A16" s="1" t="s">
        <v>18</v>
      </c>
      <c r="C16" s="11">
        <f>SUM(C13:C14)</f>
        <v>0</v>
      </c>
      <c r="D16" s="11">
        <f t="shared" ref="D16:N16" si="3">SUM(D13:D14)</f>
        <v>0</v>
      </c>
      <c r="E16" s="11">
        <f t="shared" si="3"/>
        <v>0</v>
      </c>
      <c r="F16" s="11">
        <f t="shared" si="3"/>
        <v>0</v>
      </c>
      <c r="G16" s="11">
        <f t="shared" si="3"/>
        <v>0</v>
      </c>
      <c r="H16" s="11">
        <f t="shared" si="3"/>
        <v>0</v>
      </c>
      <c r="I16" s="11">
        <f t="shared" si="3"/>
        <v>0</v>
      </c>
      <c r="J16" s="11">
        <f t="shared" si="3"/>
        <v>0</v>
      </c>
      <c r="K16" s="11">
        <f t="shared" si="3"/>
        <v>0</v>
      </c>
      <c r="L16" s="11">
        <f t="shared" si="3"/>
        <v>0</v>
      </c>
      <c r="M16" s="11">
        <f t="shared" si="3"/>
        <v>0</v>
      </c>
      <c r="N16" s="11">
        <f t="shared" si="3"/>
        <v>0</v>
      </c>
      <c r="O16" s="11">
        <f>SUM(O13:O14)</f>
        <v>0</v>
      </c>
      <c r="Q16" s="11">
        <f t="shared" ref="Q16:AB16" si="4">SUM(Q13:Q14)</f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>
        <f t="shared" si="4"/>
        <v>0</v>
      </c>
      <c r="Z16" s="11">
        <f t="shared" si="4"/>
        <v>0</v>
      </c>
      <c r="AA16" s="11">
        <f t="shared" si="4"/>
        <v>0</v>
      </c>
      <c r="AB16" s="11">
        <f t="shared" si="4"/>
        <v>0</v>
      </c>
      <c r="AC16" s="11">
        <f>SUM(AC13:AC14)</f>
        <v>0</v>
      </c>
      <c r="AE16" s="11">
        <f t="shared" ref="AE16:AQ16" si="5">SUM(AE13:AE14)</f>
        <v>0</v>
      </c>
      <c r="AF16" s="11">
        <f t="shared" si="5"/>
        <v>0</v>
      </c>
      <c r="AG16" s="11">
        <f t="shared" si="5"/>
        <v>0</v>
      </c>
      <c r="AH16" s="11">
        <f t="shared" si="5"/>
        <v>0</v>
      </c>
      <c r="AI16" s="11">
        <f t="shared" si="5"/>
        <v>0</v>
      </c>
      <c r="AJ16" s="11">
        <f t="shared" si="5"/>
        <v>0</v>
      </c>
      <c r="AK16" s="11">
        <f t="shared" si="5"/>
        <v>0</v>
      </c>
      <c r="AL16" s="11">
        <f t="shared" si="5"/>
        <v>0</v>
      </c>
      <c r="AM16" s="11">
        <f t="shared" si="5"/>
        <v>0</v>
      </c>
      <c r="AN16" s="11">
        <f t="shared" si="5"/>
        <v>0</v>
      </c>
      <c r="AO16" s="11">
        <f t="shared" si="5"/>
        <v>0</v>
      </c>
      <c r="AP16" s="11">
        <f t="shared" si="5"/>
        <v>0</v>
      </c>
      <c r="AQ16" s="11">
        <f t="shared" si="5"/>
        <v>0</v>
      </c>
    </row>
    <row r="17" spans="1:43" hidden="1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idden="1" x14ac:dyDescent="0.15">
      <c r="A18" s="1" t="s">
        <v>19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6">
        <f>SUM(C18:N18)</f>
        <v>0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">
        <f>SUM(Q18:AB18)</f>
        <v>0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6">
        <f>SUM(AE18:AP18)</f>
        <v>0</v>
      </c>
    </row>
    <row r="19" spans="1:43" hidden="1" x14ac:dyDescent="0.1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</row>
    <row r="20" spans="1:43" hidden="1" x14ac:dyDescent="0.15">
      <c r="A20" t="s">
        <v>20</v>
      </c>
      <c r="C20" s="13">
        <f>+C16-C18</f>
        <v>0</v>
      </c>
      <c r="D20" s="13">
        <f t="shared" ref="D20:N20" si="6">+D16-D18</f>
        <v>0</v>
      </c>
      <c r="E20" s="13">
        <f t="shared" si="6"/>
        <v>0</v>
      </c>
      <c r="F20" s="13">
        <f t="shared" si="6"/>
        <v>0</v>
      </c>
      <c r="G20" s="13">
        <f t="shared" si="6"/>
        <v>0</v>
      </c>
      <c r="H20" s="13">
        <f t="shared" si="6"/>
        <v>0</v>
      </c>
      <c r="I20" s="13">
        <f t="shared" si="6"/>
        <v>0</v>
      </c>
      <c r="J20" s="13">
        <f t="shared" si="6"/>
        <v>0</v>
      </c>
      <c r="K20" s="13">
        <f t="shared" si="6"/>
        <v>0</v>
      </c>
      <c r="L20" s="13">
        <f t="shared" si="6"/>
        <v>0</v>
      </c>
      <c r="M20" s="13">
        <f t="shared" si="6"/>
        <v>0</v>
      </c>
      <c r="N20" s="13">
        <f t="shared" si="6"/>
        <v>0</v>
      </c>
      <c r="O20" s="13">
        <f>+O16-O18</f>
        <v>0</v>
      </c>
      <c r="Q20" s="13">
        <f t="shared" ref="Q20:AB20" si="7">+Q16-Q18</f>
        <v>0</v>
      </c>
      <c r="R20" s="13">
        <f t="shared" si="7"/>
        <v>0</v>
      </c>
      <c r="S20" s="13">
        <f t="shared" si="7"/>
        <v>0</v>
      </c>
      <c r="T20" s="13">
        <f t="shared" si="7"/>
        <v>0</v>
      </c>
      <c r="U20" s="13">
        <f t="shared" si="7"/>
        <v>0</v>
      </c>
      <c r="V20" s="13">
        <f t="shared" si="7"/>
        <v>0</v>
      </c>
      <c r="W20" s="13">
        <f t="shared" si="7"/>
        <v>0</v>
      </c>
      <c r="X20" s="13">
        <f t="shared" si="7"/>
        <v>0</v>
      </c>
      <c r="Y20" s="13">
        <f t="shared" si="7"/>
        <v>0</v>
      </c>
      <c r="Z20" s="13">
        <f t="shared" si="7"/>
        <v>0</v>
      </c>
      <c r="AA20" s="13">
        <f t="shared" si="7"/>
        <v>0</v>
      </c>
      <c r="AB20" s="13">
        <f t="shared" si="7"/>
        <v>0</v>
      </c>
      <c r="AC20" s="13">
        <f>+AC16-AC18</f>
        <v>0</v>
      </c>
      <c r="AE20" s="13">
        <f t="shared" ref="AE20:AQ20" si="8">+AE16-AE18</f>
        <v>0</v>
      </c>
      <c r="AF20" s="13">
        <f t="shared" si="8"/>
        <v>0</v>
      </c>
      <c r="AG20" s="13">
        <f t="shared" si="8"/>
        <v>0</v>
      </c>
      <c r="AH20" s="13">
        <f t="shared" si="8"/>
        <v>0</v>
      </c>
      <c r="AI20" s="13">
        <f t="shared" si="8"/>
        <v>0</v>
      </c>
      <c r="AJ20" s="13">
        <f t="shared" si="8"/>
        <v>0</v>
      </c>
      <c r="AK20" s="13">
        <f t="shared" si="8"/>
        <v>0</v>
      </c>
      <c r="AL20" s="13">
        <f t="shared" si="8"/>
        <v>0</v>
      </c>
      <c r="AM20" s="13">
        <f t="shared" si="8"/>
        <v>0</v>
      </c>
      <c r="AN20" s="13">
        <f t="shared" si="8"/>
        <v>0</v>
      </c>
      <c r="AO20" s="13">
        <f t="shared" si="8"/>
        <v>0</v>
      </c>
      <c r="AP20" s="13">
        <f t="shared" si="8"/>
        <v>0</v>
      </c>
      <c r="AQ20" s="13">
        <f t="shared" si="8"/>
        <v>0</v>
      </c>
    </row>
    <row r="21" spans="1:43" hidden="1" x14ac:dyDescent="0.1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</row>
    <row r="22" spans="1:43" hidden="1" x14ac:dyDescent="0.15">
      <c r="A22" s="9" t="s">
        <v>21</v>
      </c>
      <c r="B22" s="10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hidden="1" x14ac:dyDescent="0.15">
      <c r="A23" t="s">
        <v>80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>
        <f t="shared" ref="O23:O34" si="9">SUM(C23:N23)</f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>
        <f t="shared" ref="AC23:AC34" si="10">SUM(Q23:AB23)</f>
        <v>0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>
        <f t="shared" ref="AQ23:AQ34" si="11">SUM(AE23:AP23)</f>
        <v>0</v>
      </c>
    </row>
    <row r="24" spans="1:43" hidden="1" x14ac:dyDescent="0.15">
      <c r="A24" t="s">
        <v>22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>
        <f t="shared" si="9"/>
        <v>0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>
        <f t="shared" si="10"/>
        <v>0</v>
      </c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>
        <f t="shared" si="11"/>
        <v>0</v>
      </c>
    </row>
    <row r="25" spans="1:43" hidden="1" x14ac:dyDescent="0.15">
      <c r="A25" s="29" t="s">
        <v>23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>
        <f t="shared" si="9"/>
        <v>0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>
        <f t="shared" si="10"/>
        <v>0</v>
      </c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>
        <f t="shared" si="11"/>
        <v>0</v>
      </c>
    </row>
    <row r="26" spans="1:43" hidden="1" x14ac:dyDescent="0.15">
      <c r="A26" s="29" t="s">
        <v>24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>
        <f t="shared" si="9"/>
        <v>0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>
        <f t="shared" si="10"/>
        <v>0</v>
      </c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>
        <f t="shared" si="11"/>
        <v>0</v>
      </c>
    </row>
    <row r="27" spans="1:43" hidden="1" x14ac:dyDescent="0.15">
      <c r="A27" s="29" t="s">
        <v>25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>
        <f t="shared" si="9"/>
        <v>0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>
        <f t="shared" si="10"/>
        <v>0</v>
      </c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>
        <f t="shared" si="11"/>
        <v>0</v>
      </c>
    </row>
    <row r="28" spans="1:43" hidden="1" x14ac:dyDescent="0.15">
      <c r="A28" s="29" t="s">
        <v>27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>
        <f t="shared" si="9"/>
        <v>0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>
        <f t="shared" si="10"/>
        <v>0</v>
      </c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>
        <f t="shared" si="11"/>
        <v>0</v>
      </c>
    </row>
    <row r="29" spans="1:43" hidden="1" x14ac:dyDescent="0.15">
      <c r="A29" s="29" t="s">
        <v>28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>
        <f t="shared" si="9"/>
        <v>0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>
        <f t="shared" si="10"/>
        <v>0</v>
      </c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>
        <f t="shared" si="11"/>
        <v>0</v>
      </c>
    </row>
    <row r="30" spans="1:43" hidden="1" x14ac:dyDescent="0.15">
      <c r="A30" s="29" t="s">
        <v>81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f t="shared" si="9"/>
        <v>0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>
        <f t="shared" si="10"/>
        <v>0</v>
      </c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>
        <f t="shared" si="11"/>
        <v>0</v>
      </c>
    </row>
    <row r="31" spans="1:43" hidden="1" x14ac:dyDescent="0.15">
      <c r="A31" s="29" t="s">
        <v>26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>
        <f t="shared" si="9"/>
        <v>0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>
        <f t="shared" si="10"/>
        <v>0</v>
      </c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>
        <f t="shared" si="11"/>
        <v>0</v>
      </c>
    </row>
    <row r="32" spans="1:43" hidden="1" x14ac:dyDescent="0.15">
      <c r="A32" s="29" t="s">
        <v>29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>
        <f t="shared" si="9"/>
        <v>0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>
        <f t="shared" si="10"/>
        <v>0</v>
      </c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>
        <f t="shared" si="11"/>
        <v>0</v>
      </c>
    </row>
    <row r="33" spans="1:43" hidden="1" x14ac:dyDescent="0.15">
      <c r="A33" t="s">
        <v>30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>
        <f t="shared" si="9"/>
        <v>0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>
        <f t="shared" si="10"/>
        <v>0</v>
      </c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>
        <f t="shared" si="11"/>
        <v>0</v>
      </c>
    </row>
    <row r="34" spans="1:43" hidden="1" x14ac:dyDescent="0.15">
      <c r="A34" t="s">
        <v>31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f t="shared" si="9"/>
        <v>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>
        <f t="shared" si="10"/>
        <v>0</v>
      </c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>
        <f t="shared" si="11"/>
        <v>0</v>
      </c>
    </row>
    <row r="35" spans="1:43" hidden="1" x14ac:dyDescent="0.15">
      <c r="A35" s="1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hidden="1" x14ac:dyDescent="0.15">
      <c r="A36" s="1" t="s">
        <v>18</v>
      </c>
      <c r="C36" s="6">
        <f>SUM(C23:C34)</f>
        <v>0</v>
      </c>
      <c r="D36" s="6">
        <f t="shared" ref="D36:N36" si="12">SUM(D23:D34)</f>
        <v>0</v>
      </c>
      <c r="E36" s="6">
        <f t="shared" si="12"/>
        <v>0</v>
      </c>
      <c r="F36" s="6">
        <f t="shared" si="12"/>
        <v>0</v>
      </c>
      <c r="G36" s="6">
        <f t="shared" si="12"/>
        <v>0</v>
      </c>
      <c r="H36" s="6">
        <f t="shared" si="12"/>
        <v>0</v>
      </c>
      <c r="I36" s="6">
        <f t="shared" si="12"/>
        <v>0</v>
      </c>
      <c r="J36" s="6">
        <f t="shared" si="12"/>
        <v>0</v>
      </c>
      <c r="K36" s="6">
        <f t="shared" si="12"/>
        <v>0</v>
      </c>
      <c r="L36" s="6">
        <f t="shared" si="12"/>
        <v>0</v>
      </c>
      <c r="M36" s="6">
        <f t="shared" si="12"/>
        <v>0</v>
      </c>
      <c r="N36" s="6">
        <f t="shared" si="12"/>
        <v>0</v>
      </c>
      <c r="O36" s="6">
        <f>SUM(O23:O34)</f>
        <v>0</v>
      </c>
      <c r="Q36" s="6">
        <f t="shared" ref="Q36:AB36" si="13">SUM(Q23:Q34)</f>
        <v>0</v>
      </c>
      <c r="R36" s="6">
        <f t="shared" si="13"/>
        <v>0</v>
      </c>
      <c r="S36" s="6">
        <f t="shared" si="13"/>
        <v>0</v>
      </c>
      <c r="T36" s="6">
        <f t="shared" si="13"/>
        <v>0</v>
      </c>
      <c r="U36" s="6">
        <f t="shared" si="13"/>
        <v>0</v>
      </c>
      <c r="V36" s="6">
        <f t="shared" si="13"/>
        <v>0</v>
      </c>
      <c r="W36" s="6">
        <f t="shared" si="13"/>
        <v>0</v>
      </c>
      <c r="X36" s="6">
        <f t="shared" si="13"/>
        <v>0</v>
      </c>
      <c r="Y36" s="6">
        <f t="shared" si="13"/>
        <v>0</v>
      </c>
      <c r="Z36" s="6">
        <f t="shared" si="13"/>
        <v>0</v>
      </c>
      <c r="AA36" s="6">
        <f t="shared" si="13"/>
        <v>0</v>
      </c>
      <c r="AB36" s="6">
        <f t="shared" si="13"/>
        <v>0</v>
      </c>
      <c r="AC36" s="6">
        <f>SUM(AC23:AC34)</f>
        <v>0</v>
      </c>
      <c r="AE36" s="6">
        <f t="shared" ref="AE36:AQ36" si="14">SUM(AE23:AE34)</f>
        <v>0</v>
      </c>
      <c r="AF36" s="6">
        <f t="shared" si="14"/>
        <v>0</v>
      </c>
      <c r="AG36" s="6">
        <f t="shared" si="14"/>
        <v>0</v>
      </c>
      <c r="AH36" s="6">
        <f t="shared" si="14"/>
        <v>0</v>
      </c>
      <c r="AI36" s="6">
        <f t="shared" si="14"/>
        <v>0</v>
      </c>
      <c r="AJ36" s="6">
        <f t="shared" si="14"/>
        <v>0</v>
      </c>
      <c r="AK36" s="6">
        <f t="shared" si="14"/>
        <v>0</v>
      </c>
      <c r="AL36" s="6">
        <f t="shared" si="14"/>
        <v>0</v>
      </c>
      <c r="AM36" s="6">
        <f t="shared" si="14"/>
        <v>0</v>
      </c>
      <c r="AN36" s="6">
        <f t="shared" si="14"/>
        <v>0</v>
      </c>
      <c r="AO36" s="6">
        <f t="shared" si="14"/>
        <v>0</v>
      </c>
      <c r="AP36" s="6">
        <f t="shared" si="14"/>
        <v>0</v>
      </c>
      <c r="AQ36" s="6">
        <f t="shared" si="14"/>
        <v>0</v>
      </c>
    </row>
    <row r="37" spans="1:43" x14ac:dyDescent="0.15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x14ac:dyDescent="0.15">
      <c r="A38" s="1" t="s">
        <v>32</v>
      </c>
      <c r="C38" s="21">
        <f>+'IS Actual &amp; Forecast'!C50</f>
        <v>126430.86400000006</v>
      </c>
      <c r="D38" s="21">
        <f>+'IS Actual &amp; Forecast'!D50</f>
        <v>188487.46920000017</v>
      </c>
      <c r="E38" s="21">
        <f>+'IS Actual &amp; Forecast'!E50</f>
        <v>143434.94871085734</v>
      </c>
      <c r="F38" s="21">
        <f>+'IS Actual &amp; Forecast'!F50</f>
        <v>79372.086169058573</v>
      </c>
      <c r="G38" s="21">
        <f>+'IS Actual &amp; Forecast'!G50</f>
        <v>121098.52607013128</v>
      </c>
      <c r="H38" s="21">
        <f>+'IS Actual &amp; Forecast'!H50</f>
        <v>181052.9766460665</v>
      </c>
      <c r="I38" s="21">
        <f>+'IS Actual &amp; Forecast'!I50</f>
        <v>188054.61806393374</v>
      </c>
      <c r="J38" s="21">
        <f>+'IS Actual &amp; Forecast'!J50</f>
        <v>195958.57273868279</v>
      </c>
      <c r="K38" s="21">
        <f>+'IS Actual &amp; Forecast'!K50</f>
        <v>158166.21450084602</v>
      </c>
      <c r="L38" s="21">
        <f>+'IS Actual &amp; Forecast'!L50</f>
        <v>73541.110878823994</v>
      </c>
      <c r="M38" s="21">
        <f>+'IS Actual &amp; Forecast'!M50</f>
        <v>123900.91398937415</v>
      </c>
      <c r="N38" s="21">
        <f>+'IS Actual &amp; Forecast'!N50</f>
        <v>82438.363342249708</v>
      </c>
      <c r="O38" s="21">
        <f>SUM(C38:N38)</f>
        <v>1661936.6643100246</v>
      </c>
      <c r="Q38" s="21">
        <f>+'IS Actual &amp; Forecast'!Q50</f>
        <v>138979.50147521088</v>
      </c>
      <c r="R38" s="21">
        <f>+'IS Actual &amp; Forecast'!R50</f>
        <v>250379.07761000015</v>
      </c>
      <c r="S38" s="21">
        <f>+'IS Actual &amp; Forecast'!S50</f>
        <v>174177.96313239768</v>
      </c>
      <c r="T38" s="21">
        <f>+'IS Actual &amp; Forecast'!T50</f>
        <v>80760.192478498822</v>
      </c>
      <c r="U38" s="21">
        <f>+'IS Actual &amp; Forecast'!U50</f>
        <v>90009.940164527274</v>
      </c>
      <c r="V38" s="21">
        <f>+'IS Actual &amp; Forecast'!V50</f>
        <v>53977.79236562681</v>
      </c>
      <c r="W38" s="21">
        <f>+'IS Actual &amp; Forecast'!W50</f>
        <v>109942.2927034465</v>
      </c>
      <c r="X38" s="21">
        <f>+'IS Actual &amp; Forecast'!X50</f>
        <v>184480.61280016907</v>
      </c>
      <c r="Y38" s="21">
        <f>+'IS Actual &amp; Forecast'!Y50</f>
        <v>240549.53806323354</v>
      </c>
      <c r="Z38" s="21">
        <f>+'IS Actual &amp; Forecast'!Z50</f>
        <v>208063.63625062638</v>
      </c>
      <c r="AA38" s="21">
        <f>+'IS Actual &amp; Forecast'!AA50</f>
        <v>179671.49182226424</v>
      </c>
      <c r="AB38" s="21">
        <f>+'IS Actual &amp; Forecast'!AB50</f>
        <v>129823.92191939161</v>
      </c>
      <c r="AC38" s="21">
        <f>SUM(Q38:AB38)</f>
        <v>1840815.9607853927</v>
      </c>
      <c r="AE38" s="21">
        <f>+'IS Actual &amp; Forecast'!AE50</f>
        <v>265177.23004584352</v>
      </c>
      <c r="AF38" s="21">
        <f>+'IS Actual &amp; Forecast'!AF50</f>
        <v>379837.4470718269</v>
      </c>
      <c r="AG38" s="21">
        <f>+'IS Actual &amp; Forecast'!AG50</f>
        <v>194287.48362676031</v>
      </c>
      <c r="AH38" s="21">
        <f>+'IS Actual &amp; Forecast'!AH50</f>
        <v>117091.09142240658</v>
      </c>
      <c r="AI38" s="21">
        <f>+'IS Actual &amp; Forecast'!AI50</f>
        <v>132314.85066109209</v>
      </c>
      <c r="AJ38" s="21">
        <f>+'IS Actual &amp; Forecast'!AJ50</f>
        <v>144243.86263106024</v>
      </c>
      <c r="AK38" s="21">
        <f>+'IS Actual &amp; Forecast'!AK50</f>
        <v>195206.99737296515</v>
      </c>
      <c r="AL38" s="21">
        <f>+'IS Actual &amp; Forecast'!AL50</f>
        <v>290137.18656407087</v>
      </c>
      <c r="AM38" s="21">
        <f>+'IS Actual &amp; Forecast'!AM50</f>
        <v>290869.26199152716</v>
      </c>
      <c r="AN38" s="21">
        <f>+'IS Actual &amp; Forecast'!AN50</f>
        <v>241737.29557947099</v>
      </c>
      <c r="AO38" s="21">
        <f>+'IS Actual &amp; Forecast'!AO50</f>
        <v>192732.90674774355</v>
      </c>
      <c r="AP38" s="21">
        <f>+'IS Actual &amp; Forecast'!AP50</f>
        <v>110874.28703296333</v>
      </c>
      <c r="AQ38" s="21">
        <f>SUM(AE38:AP38)</f>
        <v>2554509.9007477304</v>
      </c>
    </row>
    <row r="39" spans="1:43" x14ac:dyDescent="0.15">
      <c r="A39" s="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3" x14ac:dyDescent="0.15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x14ac:dyDescent="0.15">
      <c r="A41" s="7" t="s">
        <v>33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</row>
    <row r="42" spans="1:43" x14ac:dyDescent="0.15">
      <c r="A42" s="9" t="s">
        <v>34</v>
      </c>
      <c r="B42" s="16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</row>
    <row r="43" spans="1:43" x14ac:dyDescent="0.15">
      <c r="A43" s="1" t="s">
        <v>119</v>
      </c>
      <c r="C43" s="37">
        <v>-10000</v>
      </c>
      <c r="D43" s="37">
        <v>-10000</v>
      </c>
      <c r="E43" s="37">
        <v>-10000</v>
      </c>
      <c r="F43" s="37">
        <v>-10000</v>
      </c>
      <c r="G43" s="37">
        <v>-10000</v>
      </c>
      <c r="H43" s="37">
        <v>-10000</v>
      </c>
      <c r="I43" s="37">
        <v>-10000</v>
      </c>
      <c r="J43" s="37">
        <v>-10000</v>
      </c>
      <c r="K43" s="37">
        <v>-10000</v>
      </c>
      <c r="L43" s="37">
        <v>-10000</v>
      </c>
      <c r="M43" s="37">
        <v>-10000</v>
      </c>
      <c r="N43" s="37">
        <v>-10000</v>
      </c>
      <c r="O43" s="37">
        <f>SUM(C43:N43)</f>
        <v>-120000</v>
      </c>
      <c r="Q43" s="37">
        <v>-10000</v>
      </c>
      <c r="R43" s="37">
        <v>-10000</v>
      </c>
      <c r="S43" s="37">
        <v>-10000</v>
      </c>
      <c r="T43" s="37">
        <v>-10000</v>
      </c>
      <c r="U43" s="37">
        <v>-10000</v>
      </c>
      <c r="V43" s="37">
        <v>-10000</v>
      </c>
      <c r="W43" s="37">
        <f>+'Assumptions Summary'!W34</f>
        <v>-10000</v>
      </c>
      <c r="X43" s="37">
        <f>+'Assumptions Summary'!X34</f>
        <v>-10000</v>
      </c>
      <c r="Y43" s="37">
        <f>+'Assumptions Summary'!Y34</f>
        <v>-10000</v>
      </c>
      <c r="Z43" s="37">
        <f>+'Assumptions Summary'!Z34</f>
        <v>-10000</v>
      </c>
      <c r="AA43" s="37">
        <f>+'Assumptions Summary'!AA34</f>
        <v>-10000</v>
      </c>
      <c r="AB43" s="37">
        <f>+'Assumptions Summary'!AB34</f>
        <v>-10000</v>
      </c>
      <c r="AC43" s="37">
        <f>SUM(Q43:AB43)</f>
        <v>-120000</v>
      </c>
      <c r="AE43" s="37">
        <f>+'Assumptions Summary'!AE34</f>
        <v>-10000</v>
      </c>
      <c r="AF43" s="37">
        <f>+'Assumptions Summary'!AF34</f>
        <v>-10000</v>
      </c>
      <c r="AG43" s="37">
        <f>+'Assumptions Summary'!AG34</f>
        <v>-10000</v>
      </c>
      <c r="AH43" s="37">
        <f>+'Assumptions Summary'!AH34</f>
        <v>-10000</v>
      </c>
      <c r="AI43" s="37">
        <f>+'Assumptions Summary'!AI34</f>
        <v>-10000</v>
      </c>
      <c r="AJ43" s="37">
        <f>+'Assumptions Summary'!AJ34</f>
        <v>-10000</v>
      </c>
      <c r="AK43" s="37">
        <f>+'Assumptions Summary'!AK34</f>
        <v>-31375</v>
      </c>
      <c r="AL43" s="37">
        <f>+'Assumptions Summary'!AL34</f>
        <v>-31375</v>
      </c>
      <c r="AM43" s="37">
        <f>+'Assumptions Summary'!AM34</f>
        <v>-31375</v>
      </c>
      <c r="AN43" s="37">
        <f>+'Assumptions Summary'!AN34</f>
        <v>-31375</v>
      </c>
      <c r="AO43" s="37">
        <f>+'Assumptions Summary'!AO34</f>
        <v>-31375</v>
      </c>
      <c r="AP43" s="37">
        <f>+'Assumptions Summary'!AP34</f>
        <v>-31375</v>
      </c>
      <c r="AQ43" s="37">
        <f>SUM(AE43:AP43)</f>
        <v>-248250</v>
      </c>
    </row>
    <row r="44" spans="1:43" x14ac:dyDescent="0.15">
      <c r="A44" s="1" t="s">
        <v>120</v>
      </c>
      <c r="C44" s="11">
        <v>-5000</v>
      </c>
      <c r="D44" s="11">
        <v>-5000</v>
      </c>
      <c r="E44" s="11">
        <v>-5000</v>
      </c>
      <c r="F44" s="11">
        <v>-5000</v>
      </c>
      <c r="G44" s="11">
        <v>-5000</v>
      </c>
      <c r="H44" s="11">
        <v>-5000</v>
      </c>
      <c r="I44" s="11">
        <v>-5000</v>
      </c>
      <c r="J44" s="11">
        <v>-5000</v>
      </c>
      <c r="K44" s="11">
        <v>-5000</v>
      </c>
      <c r="L44" s="11">
        <v>-5000</v>
      </c>
      <c r="M44" s="11">
        <v>-5000</v>
      </c>
      <c r="N44" s="11">
        <v>-5000</v>
      </c>
      <c r="O44" s="11">
        <f>SUM(C44:N44)</f>
        <v>-60000</v>
      </c>
      <c r="Q44" s="11">
        <v>-5000</v>
      </c>
      <c r="R44" s="11">
        <v>-5000</v>
      </c>
      <c r="S44" s="11">
        <v>-5000</v>
      </c>
      <c r="T44" s="11">
        <v>-5000</v>
      </c>
      <c r="U44" s="11">
        <v>-5000</v>
      </c>
      <c r="V44" s="11">
        <v>-5000</v>
      </c>
      <c r="W44" s="37">
        <f>+'Assumptions Summary'!W35</f>
        <v>-5000</v>
      </c>
      <c r="X44" s="37">
        <f>+'Assumptions Summary'!X35</f>
        <v>-5000</v>
      </c>
      <c r="Y44" s="37">
        <f>+'Assumptions Summary'!Y35</f>
        <v>-5000</v>
      </c>
      <c r="Z44" s="37">
        <f>+'Assumptions Summary'!Z35</f>
        <v>-5000</v>
      </c>
      <c r="AA44" s="37">
        <f>+'Assumptions Summary'!AA35</f>
        <v>-5000</v>
      </c>
      <c r="AB44" s="37">
        <f>+'Assumptions Summary'!AB35</f>
        <v>-5000</v>
      </c>
      <c r="AC44" s="11">
        <f>SUM(Q44:AB44)</f>
        <v>-60000</v>
      </c>
      <c r="AE44" s="37">
        <f>+'Assumptions Summary'!AE35</f>
        <v>-5000</v>
      </c>
      <c r="AF44" s="37">
        <f>+'Assumptions Summary'!AF35</f>
        <v>-5000</v>
      </c>
      <c r="AG44" s="37">
        <f>+'Assumptions Summary'!AG35</f>
        <v>-5000</v>
      </c>
      <c r="AH44" s="37">
        <f>+'Assumptions Summary'!AH35</f>
        <v>-5000</v>
      </c>
      <c r="AI44" s="37">
        <f>+'Assumptions Summary'!AI35</f>
        <v>-5000</v>
      </c>
      <c r="AJ44" s="37">
        <f>+'Assumptions Summary'!AJ35</f>
        <v>-5000</v>
      </c>
      <c r="AK44" s="37">
        <f>+'Assumptions Summary'!AK35</f>
        <v>-170707.5</v>
      </c>
      <c r="AL44" s="37">
        <f>+'Assumptions Summary'!AL35</f>
        <v>-170707.5</v>
      </c>
      <c r="AM44" s="37">
        <f>+'Assumptions Summary'!AM35</f>
        <v>-170707.5</v>
      </c>
      <c r="AN44" s="37">
        <f>+'Assumptions Summary'!AN35</f>
        <v>-170707.5</v>
      </c>
      <c r="AO44" s="37">
        <f>+'Assumptions Summary'!AO35</f>
        <v>-170707.5</v>
      </c>
      <c r="AP44" s="37">
        <f>+'Assumptions Summary'!AP35</f>
        <v>-170707.5</v>
      </c>
      <c r="AQ44" s="11">
        <f>SUM(AE44:AP44)</f>
        <v>-1054245</v>
      </c>
    </row>
    <row r="45" spans="1:43" x14ac:dyDescent="0.15">
      <c r="A45" s="1" t="s">
        <v>52</v>
      </c>
      <c r="C45" s="6">
        <f>-'IS Actual &amp; Forecast'!C41</f>
        <v>-8237.4750000000004</v>
      </c>
      <c r="D45" s="6">
        <f>-'IS Actual &amp; Forecast'!D41</f>
        <v>-8162.4750000000004</v>
      </c>
      <c r="E45" s="6">
        <f>-'IS Actual &amp; Forecast'!E41</f>
        <v>-8087.4750000000004</v>
      </c>
      <c r="F45" s="6">
        <f>-'IS Actual &amp; Forecast'!F41</f>
        <v>-8012.4750000000004</v>
      </c>
      <c r="G45" s="6">
        <f>-'IS Actual &amp; Forecast'!G41</f>
        <v>-7937.4750000000004</v>
      </c>
      <c r="H45" s="6">
        <f>-'IS Actual &amp; Forecast'!H41</f>
        <v>-7862.4750000000004</v>
      </c>
      <c r="I45" s="6">
        <f>-'IS Actual &amp; Forecast'!I41</f>
        <v>-7787.4750000000004</v>
      </c>
      <c r="J45" s="6">
        <f>-'IS Actual &amp; Forecast'!J41</f>
        <v>-7712.4750000000004</v>
      </c>
      <c r="K45" s="6">
        <f>-'IS Actual &amp; Forecast'!K41</f>
        <v>-7637.4750000000004</v>
      </c>
      <c r="L45" s="6">
        <f>-'IS Actual &amp; Forecast'!L41</f>
        <v>-7562.4750000000004</v>
      </c>
      <c r="M45" s="6">
        <f>-'IS Actual &amp; Forecast'!M41</f>
        <v>-7487.4750000000004</v>
      </c>
      <c r="N45" s="6">
        <f>-'IS Actual &amp; Forecast'!N41</f>
        <v>-7412.4750000000004</v>
      </c>
      <c r="O45" s="6">
        <f>SUM(C45:N45)</f>
        <v>-93899.700000000012</v>
      </c>
      <c r="Q45" s="6">
        <f>-'IS Actual &amp; Forecast'!Q41</f>
        <v>-7337.4750000000004</v>
      </c>
      <c r="R45" s="6">
        <f>-'IS Actual &amp; Forecast'!R41</f>
        <v>-7262.4750000000004</v>
      </c>
      <c r="S45" s="6">
        <f>-'IS Actual &amp; Forecast'!S41</f>
        <v>-7187.4750000000004</v>
      </c>
      <c r="T45" s="6">
        <f>-'IS Actual &amp; Forecast'!T41</f>
        <v>-7112.4750000000004</v>
      </c>
      <c r="U45" s="6">
        <f>-'IS Actual &amp; Forecast'!U41</f>
        <v>-7037.4750000000004</v>
      </c>
      <c r="V45" s="6">
        <f>-'IS Actual &amp; Forecast'!V41</f>
        <v>-6962.4750000000004</v>
      </c>
      <c r="W45" s="6">
        <f>-'IS Actual &amp; Forecast'!W41</f>
        <v>-6887.4750000000004</v>
      </c>
      <c r="X45" s="6">
        <f>-'IS Actual &amp; Forecast'!X41</f>
        <v>-6812.4750000000004</v>
      </c>
      <c r="Y45" s="6">
        <f>-'IS Actual &amp; Forecast'!Y41</f>
        <v>-6737.4750000000004</v>
      </c>
      <c r="Z45" s="6">
        <f>-'IS Actual &amp; Forecast'!Z41</f>
        <v>-6662.4750000000004</v>
      </c>
      <c r="AA45" s="6">
        <f>-'IS Actual &amp; Forecast'!AA41</f>
        <v>-6587.4750000000004</v>
      </c>
      <c r="AB45" s="6">
        <f>-'IS Actual &amp; Forecast'!AB41</f>
        <v>-6512.4750000000004</v>
      </c>
      <c r="AC45" s="6">
        <f>SUM(Q45:AB45)</f>
        <v>-83099.700000000012</v>
      </c>
      <c r="AE45" s="6">
        <f>-'IS Actual &amp; Forecast'!AE41</f>
        <v>-6437.4750000000004</v>
      </c>
      <c r="AF45" s="6">
        <f>-'IS Actual &amp; Forecast'!AF41</f>
        <v>-6362.4750000000004</v>
      </c>
      <c r="AG45" s="6">
        <f>-'IS Actual &amp; Forecast'!AG41</f>
        <v>-6287.4750000000004</v>
      </c>
      <c r="AH45" s="6">
        <f>-'IS Actual &amp; Forecast'!AH41</f>
        <v>-6212.4750000000004</v>
      </c>
      <c r="AI45" s="6">
        <f>-'IS Actual &amp; Forecast'!AI41</f>
        <v>-6137.4750000000004</v>
      </c>
      <c r="AJ45" s="6">
        <f>-'IS Actual &amp; Forecast'!AJ41</f>
        <v>-6062.4750000000004</v>
      </c>
      <c r="AK45" s="6">
        <f>-'IS Actual &amp; Forecast'!AK41</f>
        <v>-5052.0625</v>
      </c>
      <c r="AL45" s="6">
        <f>-'IS Actual &amp; Forecast'!AL41</f>
        <v>-4041.65</v>
      </c>
      <c r="AM45" s="6">
        <f>-'IS Actual &amp; Forecast'!AM41</f>
        <v>-3031.2375000000002</v>
      </c>
      <c r="AN45" s="6">
        <f>-'IS Actual &amp; Forecast'!AN41</f>
        <v>-2020.825</v>
      </c>
      <c r="AO45" s="6">
        <f>-'IS Actual &amp; Forecast'!AO41</f>
        <v>-1010.4125</v>
      </c>
      <c r="AP45" s="6">
        <f>-'IS Actual &amp; Forecast'!AP41</f>
        <v>0</v>
      </c>
      <c r="AQ45" s="6">
        <f>SUM(AE45:AP45)</f>
        <v>-52656.037499999999</v>
      </c>
    </row>
    <row r="46" spans="1:43" x14ac:dyDescent="0.15">
      <c r="A46" s="1" t="s">
        <v>35</v>
      </c>
      <c r="C46" s="8">
        <f>SUM(C43:C45)</f>
        <v>-23237.474999999999</v>
      </c>
      <c r="D46" s="8">
        <f t="shared" ref="D46:O46" si="15">SUM(D43:D45)</f>
        <v>-23162.474999999999</v>
      </c>
      <c r="E46" s="8">
        <f t="shared" si="15"/>
        <v>-23087.474999999999</v>
      </c>
      <c r="F46" s="8">
        <f t="shared" si="15"/>
        <v>-23012.474999999999</v>
      </c>
      <c r="G46" s="8">
        <f t="shared" si="15"/>
        <v>-22937.474999999999</v>
      </c>
      <c r="H46" s="8">
        <f t="shared" si="15"/>
        <v>-22862.474999999999</v>
      </c>
      <c r="I46" s="8">
        <f t="shared" si="15"/>
        <v>-22787.474999999999</v>
      </c>
      <c r="J46" s="8">
        <f t="shared" si="15"/>
        <v>-22712.474999999999</v>
      </c>
      <c r="K46" s="8">
        <f t="shared" si="15"/>
        <v>-22637.474999999999</v>
      </c>
      <c r="L46" s="8">
        <f t="shared" si="15"/>
        <v>-22562.474999999999</v>
      </c>
      <c r="M46" s="8">
        <f t="shared" si="15"/>
        <v>-22487.474999999999</v>
      </c>
      <c r="N46" s="8">
        <f t="shared" si="15"/>
        <v>-22412.474999999999</v>
      </c>
      <c r="O46" s="8">
        <f t="shared" si="15"/>
        <v>-273899.7</v>
      </c>
      <c r="Q46" s="8">
        <f t="shared" ref="Q46" si="16">SUM(Q43:Q45)</f>
        <v>-22337.474999999999</v>
      </c>
      <c r="R46" s="8">
        <f t="shared" ref="R46" si="17">SUM(R43:R45)</f>
        <v>-22262.474999999999</v>
      </c>
      <c r="S46" s="8">
        <f t="shared" ref="S46" si="18">SUM(S43:S45)</f>
        <v>-22187.474999999999</v>
      </c>
      <c r="T46" s="8">
        <f t="shared" ref="T46" si="19">SUM(T43:T45)</f>
        <v>-22112.474999999999</v>
      </c>
      <c r="U46" s="8">
        <f t="shared" ref="U46" si="20">SUM(U43:U45)</f>
        <v>-22037.474999999999</v>
      </c>
      <c r="V46" s="8">
        <f t="shared" ref="V46" si="21">SUM(V43:V45)</f>
        <v>-21962.474999999999</v>
      </c>
      <c r="W46" s="8">
        <f t="shared" ref="W46" si="22">SUM(W43:W45)</f>
        <v>-21887.474999999999</v>
      </c>
      <c r="X46" s="8">
        <f t="shared" ref="X46" si="23">SUM(X43:X45)</f>
        <v>-21812.474999999999</v>
      </c>
      <c r="Y46" s="8">
        <f t="shared" ref="Y46" si="24">SUM(Y43:Y45)</f>
        <v>-21737.474999999999</v>
      </c>
      <c r="Z46" s="8">
        <f t="shared" ref="Z46" si="25">SUM(Z43:Z45)</f>
        <v>-21662.474999999999</v>
      </c>
      <c r="AA46" s="8">
        <f t="shared" ref="AA46" si="26">SUM(AA43:AA45)</f>
        <v>-21587.474999999999</v>
      </c>
      <c r="AB46" s="8">
        <f t="shared" ref="AB46" si="27">SUM(AB43:AB45)</f>
        <v>-21512.474999999999</v>
      </c>
      <c r="AC46" s="8">
        <f t="shared" ref="AC46" si="28">SUM(AC43:AC45)</f>
        <v>-263099.7</v>
      </c>
      <c r="AE46" s="8">
        <f t="shared" ref="AE46:AF46" si="29">SUM(AE43:AE45)</f>
        <v>-21437.474999999999</v>
      </c>
      <c r="AF46" s="8">
        <f t="shared" si="29"/>
        <v>-21362.474999999999</v>
      </c>
      <c r="AG46" s="8">
        <f t="shared" ref="AG46:AQ46" si="30">SUM(AG43:AG45)</f>
        <v>-21287.474999999999</v>
      </c>
      <c r="AH46" s="8">
        <f t="shared" si="30"/>
        <v>-21212.474999999999</v>
      </c>
      <c r="AI46" s="8">
        <f t="shared" si="30"/>
        <v>-21137.474999999999</v>
      </c>
      <c r="AJ46" s="8">
        <f t="shared" si="30"/>
        <v>-21062.474999999999</v>
      </c>
      <c r="AK46" s="8">
        <f t="shared" si="30"/>
        <v>-207134.5625</v>
      </c>
      <c r="AL46" s="8">
        <f t="shared" si="30"/>
        <v>-206124.15</v>
      </c>
      <c r="AM46" s="8">
        <f t="shared" si="30"/>
        <v>-205113.73749999999</v>
      </c>
      <c r="AN46" s="8">
        <f t="shared" si="30"/>
        <v>-204103.32500000001</v>
      </c>
      <c r="AO46" s="8">
        <f t="shared" si="30"/>
        <v>-203092.91250000001</v>
      </c>
      <c r="AP46" s="8">
        <f t="shared" si="30"/>
        <v>-202082.5</v>
      </c>
      <c r="AQ46" s="8">
        <f t="shared" si="30"/>
        <v>-1355151.0375000001</v>
      </c>
    </row>
    <row r="47" spans="1:43" x14ac:dyDescent="0.15">
      <c r="A47" s="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1:43" x14ac:dyDescent="0.15">
      <c r="A48" s="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1:43" x14ac:dyDescent="0.15">
      <c r="A49" s="7" t="s">
        <v>36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 x14ac:dyDescent="0.15">
      <c r="A50" s="9" t="s">
        <v>37</v>
      </c>
      <c r="B50" s="10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3" x14ac:dyDescent="0.15">
      <c r="A51" s="1" t="s">
        <v>38</v>
      </c>
      <c r="C51" s="8">
        <v>0</v>
      </c>
      <c r="D51" s="8">
        <v>0</v>
      </c>
      <c r="E51" s="8">
        <v>-15545</v>
      </c>
      <c r="F51" s="8">
        <v>0</v>
      </c>
      <c r="G51" s="8">
        <v>-3590</v>
      </c>
      <c r="H51" s="8">
        <v>0</v>
      </c>
      <c r="I51" s="8">
        <v>0</v>
      </c>
      <c r="J51" s="8">
        <v>-23989</v>
      </c>
      <c r="K51" s="8">
        <v>0</v>
      </c>
      <c r="L51" s="8">
        <v>-4470</v>
      </c>
      <c r="M51" s="8">
        <v>0</v>
      </c>
      <c r="N51" s="8">
        <v>0</v>
      </c>
      <c r="O51" s="8">
        <f>SUM(C51:N51)</f>
        <v>-47594</v>
      </c>
      <c r="Q51" s="8">
        <v>-11250</v>
      </c>
      <c r="R51" s="8">
        <v>0</v>
      </c>
      <c r="S51" s="8">
        <v>-18752</v>
      </c>
      <c r="T51" s="8">
        <v>0</v>
      </c>
      <c r="U51" s="8">
        <v>0</v>
      </c>
      <c r="V51" s="8">
        <v>0</v>
      </c>
      <c r="W51" s="8">
        <f>+'Assumptions Summary'!W28</f>
        <v>-25000</v>
      </c>
      <c r="X51" s="8">
        <f>+'Assumptions Summary'!X28</f>
        <v>0</v>
      </c>
      <c r="Y51" s="8">
        <f>+'Assumptions Summary'!Y28</f>
        <v>0</v>
      </c>
      <c r="Z51" s="8">
        <f>+'Assumptions Summary'!Z28</f>
        <v>-15000</v>
      </c>
      <c r="AA51" s="8">
        <f>+'Assumptions Summary'!AA28</f>
        <v>0</v>
      </c>
      <c r="AB51" s="8">
        <f>+'Assumptions Summary'!AB28</f>
        <v>0</v>
      </c>
      <c r="AC51" s="8">
        <f>SUM(Q51:AB51)</f>
        <v>-70002</v>
      </c>
      <c r="AE51" s="8">
        <f>+'Assumptions Summary'!AE28</f>
        <v>-15000</v>
      </c>
      <c r="AF51" s="8">
        <f>+'Assumptions Summary'!AF28</f>
        <v>0</v>
      </c>
      <c r="AG51" s="8">
        <f>+'Assumptions Summary'!AG28</f>
        <v>-10000</v>
      </c>
      <c r="AH51" s="8">
        <f>+'Assumptions Summary'!AH28</f>
        <v>0</v>
      </c>
      <c r="AI51" s="8">
        <f>+'Assumptions Summary'!AI28</f>
        <v>0</v>
      </c>
      <c r="AJ51" s="8">
        <f>+'Assumptions Summary'!AJ28</f>
        <v>-25000</v>
      </c>
      <c r="AK51" s="8">
        <f>+'Assumptions Summary'!AK28</f>
        <v>0</v>
      </c>
      <c r="AL51" s="8">
        <f>+'Assumptions Summary'!AL28</f>
        <v>0</v>
      </c>
      <c r="AM51" s="8">
        <f>+'Assumptions Summary'!AM28</f>
        <v>-50000</v>
      </c>
      <c r="AN51" s="8">
        <f>+'Assumptions Summary'!AN28</f>
        <v>0</v>
      </c>
      <c r="AO51" s="8">
        <f>+'Assumptions Summary'!AO28</f>
        <v>0</v>
      </c>
      <c r="AP51" s="8">
        <f>+'Assumptions Summary'!AP28</f>
        <v>0</v>
      </c>
      <c r="AQ51" s="8">
        <f>SUM(AE51:AP51)</f>
        <v>-100000</v>
      </c>
    </row>
    <row r="52" spans="1:43" x14ac:dyDescent="0.15">
      <c r="A52" s="1" t="s">
        <v>17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f>SUM(C52:N52)</f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f>SUM(Q52:AB52)</f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f>SUM(AE52:AP52)</f>
        <v>0</v>
      </c>
    </row>
    <row r="53" spans="1:43" x14ac:dyDescent="0.15">
      <c r="A53" s="1" t="s">
        <v>35</v>
      </c>
      <c r="C53" s="8">
        <f t="shared" ref="C53:O53" si="31">SUM(C51:C52)</f>
        <v>0</v>
      </c>
      <c r="D53" s="8">
        <f t="shared" si="31"/>
        <v>0</v>
      </c>
      <c r="E53" s="8">
        <f t="shared" si="31"/>
        <v>-15545</v>
      </c>
      <c r="F53" s="8">
        <f t="shared" si="31"/>
        <v>0</v>
      </c>
      <c r="G53" s="8">
        <f t="shared" si="31"/>
        <v>-3590</v>
      </c>
      <c r="H53" s="8">
        <f t="shared" si="31"/>
        <v>0</v>
      </c>
      <c r="I53" s="8">
        <f t="shared" si="31"/>
        <v>0</v>
      </c>
      <c r="J53" s="8">
        <f t="shared" si="31"/>
        <v>-23989</v>
      </c>
      <c r="K53" s="8">
        <f t="shared" si="31"/>
        <v>0</v>
      </c>
      <c r="L53" s="8">
        <f t="shared" si="31"/>
        <v>-4470</v>
      </c>
      <c r="M53" s="8">
        <f t="shared" si="31"/>
        <v>0</v>
      </c>
      <c r="N53" s="8">
        <f t="shared" si="31"/>
        <v>0</v>
      </c>
      <c r="O53" s="8">
        <f t="shared" si="31"/>
        <v>-47594</v>
      </c>
      <c r="Q53" s="8">
        <f t="shared" ref="Q53:AC53" si="32">SUM(Q51:Q52)</f>
        <v>-11250</v>
      </c>
      <c r="R53" s="8">
        <f t="shared" si="32"/>
        <v>0</v>
      </c>
      <c r="S53" s="8">
        <f t="shared" si="32"/>
        <v>-18752</v>
      </c>
      <c r="T53" s="8">
        <f t="shared" si="32"/>
        <v>0</v>
      </c>
      <c r="U53" s="8">
        <f t="shared" si="32"/>
        <v>0</v>
      </c>
      <c r="V53" s="8">
        <f t="shared" si="32"/>
        <v>0</v>
      </c>
      <c r="W53" s="8">
        <f t="shared" si="32"/>
        <v>-25000</v>
      </c>
      <c r="X53" s="8">
        <f t="shared" si="32"/>
        <v>0</v>
      </c>
      <c r="Y53" s="8">
        <f t="shared" si="32"/>
        <v>0</v>
      </c>
      <c r="Z53" s="8">
        <f t="shared" si="32"/>
        <v>-15000</v>
      </c>
      <c r="AA53" s="8">
        <f t="shared" si="32"/>
        <v>0</v>
      </c>
      <c r="AB53" s="8">
        <f t="shared" si="32"/>
        <v>0</v>
      </c>
      <c r="AC53" s="8">
        <f t="shared" si="32"/>
        <v>-70002</v>
      </c>
      <c r="AE53" s="8">
        <f t="shared" ref="AE53:AQ53" si="33">SUM(AE51:AE52)</f>
        <v>-15000</v>
      </c>
      <c r="AF53" s="8">
        <f t="shared" si="33"/>
        <v>0</v>
      </c>
      <c r="AG53" s="8">
        <f t="shared" si="33"/>
        <v>-10000</v>
      </c>
      <c r="AH53" s="8">
        <f t="shared" si="33"/>
        <v>0</v>
      </c>
      <c r="AI53" s="8">
        <f t="shared" si="33"/>
        <v>0</v>
      </c>
      <c r="AJ53" s="8">
        <f t="shared" si="33"/>
        <v>-25000</v>
      </c>
      <c r="AK53" s="8">
        <f t="shared" si="33"/>
        <v>0</v>
      </c>
      <c r="AL53" s="8">
        <f t="shared" si="33"/>
        <v>0</v>
      </c>
      <c r="AM53" s="8">
        <f t="shared" si="33"/>
        <v>-50000</v>
      </c>
      <c r="AN53" s="8">
        <f t="shared" si="33"/>
        <v>0</v>
      </c>
      <c r="AO53" s="8">
        <f t="shared" si="33"/>
        <v>0</v>
      </c>
      <c r="AP53" s="8">
        <f t="shared" si="33"/>
        <v>0</v>
      </c>
      <c r="AQ53" s="8">
        <f t="shared" si="33"/>
        <v>-100000</v>
      </c>
    </row>
    <row r="54" spans="1:43" x14ac:dyDescent="0.15">
      <c r="A54" s="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x14ac:dyDescent="0.15">
      <c r="A55" s="1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1:43" x14ac:dyDescent="0.15">
      <c r="A56" s="7" t="s">
        <v>39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3" x14ac:dyDescent="0.15">
      <c r="A57" s="9" t="s">
        <v>40</v>
      </c>
      <c r="B57" s="16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</row>
    <row r="58" spans="1:43" x14ac:dyDescent="0.15">
      <c r="A58" s="1" t="s">
        <v>43</v>
      </c>
      <c r="C58" s="8">
        <f>-'IS Actual &amp; Forecast'!C16</f>
        <v>-1943256</v>
      </c>
      <c r="D58" s="8">
        <f>-'IS Actual &amp; Forecast'!D16</f>
        <v>-2137581.6</v>
      </c>
      <c r="E58" s="8">
        <f>-'IS Actual &amp; Forecast'!E16</f>
        <v>-2180333.2320000003</v>
      </c>
      <c r="F58" s="8">
        <f>-'IS Actual &amp; Forecast'!F16</f>
        <v>-1727709.90576</v>
      </c>
      <c r="G58" s="8">
        <f>-'IS Actual &amp; Forecast'!G16</f>
        <v>-1987155.7076448004</v>
      </c>
      <c r="H58" s="8">
        <f>-'IS Actual &amp; Forecast'!H16</f>
        <v>-2185871.2784092808</v>
      </c>
      <c r="I58" s="8">
        <f>-'IS Actual &amp; Forecast'!I16</f>
        <v>-2076577.7144888167</v>
      </c>
      <c r="J58" s="8">
        <f>-'IS Actual &amp; Forecast'!J16</f>
        <v>-2480467</v>
      </c>
      <c r="K58" s="8">
        <f>-'IS Actual &amp; Forecast'!K16</f>
        <v>-2149257.934495925</v>
      </c>
      <c r="L58" s="8">
        <f>-'IS Actual &amp; Forecast'!L16</f>
        <v>-1891346.982356414</v>
      </c>
      <c r="M58" s="8">
        <f>-'IS Actual &amp; Forecast'!M16</f>
        <v>-1796779.6332385931</v>
      </c>
      <c r="N58" s="8">
        <f>-'IS Actual &amp; Forecast'!N16</f>
        <v>-1486618.6149005201</v>
      </c>
      <c r="O58" s="8">
        <f>SUM(C58:N58)</f>
        <v>-24042955.60329435</v>
      </c>
      <c r="Q58" s="8">
        <f>-'IS Actual &amp; Forecast'!Q16</f>
        <v>-2138875.0459234812</v>
      </c>
      <c r="R58" s="8">
        <f>-'IS Actual &amp; Forecast'!R16</f>
        <v>-2554881.0100000002</v>
      </c>
      <c r="S58" s="8">
        <f>-'IS Actual &amp; Forecast'!S16</f>
        <v>-2213735.6725308029</v>
      </c>
      <c r="T58" s="8">
        <f>-'IS Actual &amp; Forecast'!T16</f>
        <v>-1948087.3918271065</v>
      </c>
      <c r="U58" s="8">
        <f>-'IS Actual &amp; Forecast'!U16</f>
        <v>-1850683.0222357509</v>
      </c>
      <c r="V58" s="8">
        <f>-'IS Actual &amp; Forecast'!V16</f>
        <v>-1531217.1733475358</v>
      </c>
      <c r="W58" s="8">
        <f>-'IS Actual &amp; Forecast'!W16</f>
        <v>-1913730.3042473253</v>
      </c>
      <c r="X58" s="8">
        <f>-'IS Actual &amp; Forecast'!X16</f>
        <v>-2420413.5884210528</v>
      </c>
      <c r="Y58" s="8">
        <f>-'IS Actual &amp; Forecast'!Y16</f>
        <v>-2804065.1852056831</v>
      </c>
      <c r="Z58" s="8">
        <f>-'IS Actual &amp; Forecast'!Z16</f>
        <v>-2782981.9883244373</v>
      </c>
      <c r="AA58" s="8">
        <f>-'IS Actual &amp; Forecast'!AA16</f>
        <v>-2590956.2311300514</v>
      </c>
      <c r="AB58" s="8">
        <f>-'IS Actual &amp; Forecast'!AB16</f>
        <v>-2245785.1875763857</v>
      </c>
      <c r="AC58" s="8">
        <f>SUM(Q58:AB58)</f>
        <v>-26995411.800769616</v>
      </c>
      <c r="AE58" s="8">
        <f>-'IS Actual &amp; Forecast'!AE16</f>
        <v>-3231127.2360417391</v>
      </c>
      <c r="AF58" s="8">
        <f>-'IS Actual &amp; Forecast'!AF16</f>
        <v>-4048503.7543076929</v>
      </c>
      <c r="AG58" s="8">
        <f>-'IS Actual &amp; Forecast'!AG16</f>
        <v>-2565166.2105450681</v>
      </c>
      <c r="AH58" s="8">
        <f>-'IS Actual &amp; Forecast'!AH16</f>
        <v>-2006530.0135819197</v>
      </c>
      <c r="AI58" s="8">
        <f>-'IS Actual &amp; Forecast'!AI16</f>
        <v>-2130462.7497149203</v>
      </c>
      <c r="AJ58" s="8">
        <f>-'IS Actual &amp; Forecast'!AJ16</f>
        <v>-2208015.163967147</v>
      </c>
      <c r="AK58" s="8">
        <f>-'IS Actual &amp; Forecast'!AK16</f>
        <v>-2550889.9231908466</v>
      </c>
      <c r="AL58" s="8">
        <f>-'IS Actual &amp; Forecast'!AL16</f>
        <v>-3185533.2172052632</v>
      </c>
      <c r="AM58" s="8">
        <f>-'IS Actual &amp; Forecast'!AM16</f>
        <v>-3192206.8397894176</v>
      </c>
      <c r="AN58" s="8">
        <f>-'IS Actual &amp; Forecast'!AN16</f>
        <v>-2866471.4479741706</v>
      </c>
      <c r="AO58" s="8">
        <f>-'IS Actual &amp; Forecast'!AO16</f>
        <v>-2541604.6838704315</v>
      </c>
      <c r="AP58" s="8">
        <f>-'IS Actual &amp; Forecast'!AP16</f>
        <v>-1997728.0054940851</v>
      </c>
      <c r="AQ58" s="8">
        <f t="shared" ref="AQ58:AQ66" si="34">SUM(AE58:AP58)</f>
        <v>-32524239.245682701</v>
      </c>
    </row>
    <row r="59" spans="1:43" x14ac:dyDescent="0.15">
      <c r="A59" s="1" t="s">
        <v>44</v>
      </c>
      <c r="C59" s="8">
        <v>1879456</v>
      </c>
      <c r="D59" s="8">
        <f>-D58*1.01</f>
        <v>2158957.4160000002</v>
      </c>
      <c r="E59" s="8">
        <f>-E58*0.98</f>
        <v>2136726.5673600002</v>
      </c>
      <c r="F59" s="8">
        <f>-F58*1.03</f>
        <v>1779541.2029327999</v>
      </c>
      <c r="G59" s="8">
        <f>-G58*1.02</f>
        <v>2026898.8217976964</v>
      </c>
      <c r="H59" s="8">
        <f>-H58*0.98</f>
        <v>2142153.8528410951</v>
      </c>
      <c r="I59" s="8">
        <f>-I58*1.03</f>
        <v>2138875.0459234812</v>
      </c>
      <c r="J59" s="8">
        <f>-J58*0.97</f>
        <v>2406052.9899999998</v>
      </c>
      <c r="K59" s="8">
        <f t="shared" ref="K59" si="35">-K58*0.98</f>
        <v>2106272.7758060065</v>
      </c>
      <c r="L59" s="8">
        <f t="shared" ref="L59" si="36">-L58*0.98</f>
        <v>1853520.0427092856</v>
      </c>
      <c r="M59" s="8">
        <f t="shared" ref="M59" si="37">-M58*1.03</f>
        <v>1850683.0222357509</v>
      </c>
      <c r="N59" s="8">
        <f t="shared" ref="N59" si="38">-N58*1.03</f>
        <v>1531217.1733475358</v>
      </c>
      <c r="O59" s="8">
        <f>SUM(C59:N59)</f>
        <v>24010354.910953652</v>
      </c>
      <c r="Q59" s="8">
        <f>-Q58*1.03</f>
        <v>2203041.2973011858</v>
      </c>
      <c r="R59" s="8">
        <f>-R58*0.97</f>
        <v>2478234.5797000001</v>
      </c>
      <c r="S59" s="8">
        <f t="shared" ref="S59:T59" si="39">-S58*0.98</f>
        <v>2169460.9590801867</v>
      </c>
      <c r="T59" s="8">
        <f t="shared" si="39"/>
        <v>1909125.6439905644</v>
      </c>
      <c r="U59" s="8">
        <f t="shared" ref="U59" si="40">-U58*1.03</f>
        <v>1906203.5129028235</v>
      </c>
      <c r="V59" s="8">
        <v>1777154</v>
      </c>
      <c r="W59" s="8">
        <f>+'BS Actual &amp; Forecast'!V11+'IS Actual &amp; Forecast'!W16-'BS Actual &amp; Forecast'!W11</f>
        <v>2154142.2938682917</v>
      </c>
      <c r="X59" s="8">
        <f>+'BS Actual &amp; Forecast'!W11+'IS Actual &amp; Forecast'!X16-'BS Actual &amp; Forecast'!X11</f>
        <v>1783156.1576183657</v>
      </c>
      <c r="Y59" s="8">
        <f>+'BS Actual &amp; Forecast'!X11+'IS Actual &amp; Forecast'!Y16-'BS Actual &amp; Forecast'!Y11</f>
        <v>2165991.8538521938</v>
      </c>
      <c r="Z59" s="8">
        <f>+'BS Actual &amp; Forecast'!Y11+'IS Actual &amp; Forecast'!Z16-'BS Actual &amp; Forecast'!Z11</f>
        <v>1871319.131481831</v>
      </c>
      <c r="AA59" s="8">
        <f>+'BS Actual &amp; Forecast'!Z11+'IS Actual &amp; Forecast'!AA16-'BS Actual &amp; Forecast'!AA11</f>
        <v>2768547.0261930777</v>
      </c>
      <c r="AB59" s="8">
        <f>+'BS Actual &amp; Forecast'!AA11+'IS Actual &amp; Forecast'!AB16-'BS Actual &amp; Forecast'!AB11</f>
        <v>2290387.403307559</v>
      </c>
      <c r="AC59" s="8">
        <f>SUM(Q59:AB59)</f>
        <v>25476763.859296083</v>
      </c>
      <c r="AE59" s="8">
        <f>+'BS Actual &amp; Forecast'!AB11+'IS Actual &amp; Forecast'!AE16-'BS Actual &amp; Forecast'!AE11</f>
        <v>3100713.1835075365</v>
      </c>
      <c r="AF59" s="8">
        <f>+'BS Actual &amp; Forecast'!AE11+'IS Actual &amp; Forecast'!AF16-'BS Actual &amp; Forecast'!AF11</f>
        <v>2546238.2820316022</v>
      </c>
      <c r="AG59" s="8">
        <f>+'BS Actual &amp; Forecast'!AF11+'IS Actual &amp; Forecast'!AG16-'BS Actual &amp; Forecast'!AG11</f>
        <v>3671272.8955300236</v>
      </c>
      <c r="AH59" s="8">
        <f>+'BS Actual &amp; Forecast'!AG11+'IS Actual &amp; Forecast'!AH16-'BS Actual &amp; Forecast'!AH11</f>
        <v>3614205.2561950325</v>
      </c>
      <c r="AI59" s="8">
        <f>+'BS Actual &amp; Forecast'!AH11+'IS Actual &amp; Forecast'!AI16-'BS Actual &amp; Forecast'!AI11</f>
        <v>2518195.1670453092</v>
      </c>
      <c r="AJ59" s="8">
        <f>+'BS Actual &amp; Forecast'!AI11+'IS Actual &amp; Forecast'!AJ16-'BS Actual &amp; Forecast'!AJ11</f>
        <v>2063617.4728577333</v>
      </c>
      <c r="AK59" s="8">
        <f>+'BS Actual &amp; Forecast'!AJ11+'IS Actual &amp; Forecast'!AK16-'BS Actual &amp; Forecast'!AK11</f>
        <v>2249583.7821997656</v>
      </c>
      <c r="AL59" s="8">
        <f>+'BS Actual &amp; Forecast'!AK11+'IS Actual &amp; Forecast'!AL16-'BS Actual &amp; Forecast'!AL11</f>
        <v>2484978.6123846131</v>
      </c>
      <c r="AM59" s="8">
        <f>+'BS Actual &amp; Forecast'!AL11+'IS Actual &amp; Forecast'!AM16-'BS Actual &amp; Forecast'!AM11</f>
        <v>2732596.3828937756</v>
      </c>
      <c r="AN59" s="8">
        <f>+'BS Actual &amp; Forecast'!AM11+'IS Actual &amp; Forecast'!AN16-'BS Actual &amp; Forecast'!AN11</f>
        <v>3095132.3825897872</v>
      </c>
      <c r="AO59" s="8">
        <f>+'BS Actual &amp; Forecast'!AN11+'IS Actual &amp; Forecast'!AO16-'BS Actual &amp; Forecast'!AO11</f>
        <v>3007869.5622790372</v>
      </c>
      <c r="AP59" s="8">
        <f>+'BS Actual &amp; Forecast'!AO11+'IS Actual &amp; Forecast'!AP16-'BS Actual &amp; Forecast'!AP11</f>
        <v>2620327.4726048131</v>
      </c>
      <c r="AQ59" s="8">
        <f t="shared" si="34"/>
        <v>33704730.45211903</v>
      </c>
    </row>
    <row r="60" spans="1:43" x14ac:dyDescent="0.15">
      <c r="A60" s="1" t="s">
        <v>41</v>
      </c>
      <c r="C60" s="8">
        <f>+'IS Actual &amp; Forecast'!C18</f>
        <v>1663427.1359999999</v>
      </c>
      <c r="D60" s="8">
        <f>+'IS Actual &amp; Forecast'!D18</f>
        <v>1791293.3807999999</v>
      </c>
      <c r="E60" s="8">
        <f>+'IS Actual &amp; Forecast'!E18</f>
        <v>1855463.5804320001</v>
      </c>
      <c r="F60" s="8">
        <f>+'IS Actual &amp; Forecast'!F18</f>
        <v>1489285.93876512</v>
      </c>
      <c r="G60" s="8">
        <f>+'IS Actual &amp; Forecast'!G18</f>
        <v>1683120.8843751459</v>
      </c>
      <c r="H60" s="8">
        <f>+'IS Actual &amp; Forecast'!H18</f>
        <v>1840503.6164206143</v>
      </c>
      <c r="I60" s="8">
        <f>+'IS Actual &amp; Forecast'!I18</f>
        <v>1731865.8138836729</v>
      </c>
      <c r="J60" s="8">
        <f>+'IS Actual &amp; Forecast'!J18</f>
        <v>2120799.2850000001</v>
      </c>
      <c r="K60" s="8">
        <f>+'IS Actual &amp; Forecast'!K18</f>
        <v>1818272.2125835526</v>
      </c>
      <c r="L60" s="8">
        <f>+'IS Actual &amp; Forecast'!L18</f>
        <v>1647363.2216324366</v>
      </c>
      <c r="M60" s="8">
        <f>+'IS Actual &amp; Forecast'!M18</f>
        <v>1520075.5697198496</v>
      </c>
      <c r="N60" s="8">
        <f>+'IS Actual &amp; Forecast'!N18</f>
        <v>1250246.2551313373</v>
      </c>
      <c r="O60" s="8">
        <f t="shared" ref="O60:O66" si="41">SUM(C60:N60)</f>
        <v>20411716.894743733</v>
      </c>
      <c r="Q60" s="8">
        <f>+'IS Actual &amp; Forecast'!Q18</f>
        <v>1837293.6644482703</v>
      </c>
      <c r="R60" s="8">
        <f>+'IS Actual &amp; Forecast'!R18</f>
        <v>2143545.1673900001</v>
      </c>
      <c r="S60" s="8">
        <f>+'IS Actual &amp; Forecast'!S18</f>
        <v>1861751.7005984052</v>
      </c>
      <c r="T60" s="8">
        <f>+'IS Actual &amp; Forecast'!T18</f>
        <v>1698732.2056732369</v>
      </c>
      <c r="U60" s="8">
        <f>+'IS Actual &amp; Forecast'!U18</f>
        <v>1567528.5198336809</v>
      </c>
      <c r="V60" s="8">
        <f>+'IS Actual &amp; Forecast'!V18</f>
        <v>1303065.814518753</v>
      </c>
      <c r="W60" s="8">
        <f>+'IS Actual &amp; Forecast'!W18</f>
        <v>1626670.7586102264</v>
      </c>
      <c r="X60" s="8">
        <f>+'IS Actual &amp; Forecast'!X18</f>
        <v>2057351.5501578948</v>
      </c>
      <c r="Y60" s="8">
        <f>+'IS Actual &amp; Forecast'!Y18</f>
        <v>2383455.4074248308</v>
      </c>
      <c r="Z60" s="8">
        <f>+'IS Actual &amp; Forecast'!Z18</f>
        <v>2393364.509959016</v>
      </c>
      <c r="AA60" s="8">
        <f>+'IS Actual &amp; Forecast'!AA18</f>
        <v>2228222.3587718443</v>
      </c>
      <c r="AB60" s="8">
        <f>+'IS Actual &amp; Forecast'!AB18</f>
        <v>1931375.2613156918</v>
      </c>
      <c r="AC60" s="8">
        <f t="shared" ref="AC60:AC66" si="42">SUM(Q60:AB60)</f>
        <v>23032356.918701854</v>
      </c>
      <c r="AE60" s="8">
        <f>+'IS Actual &amp; Forecast'!AE18</f>
        <v>2778769.4229958956</v>
      </c>
      <c r="AF60" s="8">
        <f>+'IS Actual &amp; Forecast'!AF18</f>
        <v>3481713.228704616</v>
      </c>
      <c r="AG60" s="8">
        <f>+'IS Actual &amp; Forecast'!AG18</f>
        <v>2180391.2789633079</v>
      </c>
      <c r="AH60" s="8">
        <f>+'IS Actual &amp; Forecast'!AH18</f>
        <v>1705550.5115446318</v>
      </c>
      <c r="AI60" s="8">
        <f>+'IS Actual &amp; Forecast'!AI18</f>
        <v>1810893.3372576823</v>
      </c>
      <c r="AJ60" s="8">
        <f>+'IS Actual &amp; Forecast'!AJ18</f>
        <v>1876812.889372075</v>
      </c>
      <c r="AK60" s="8">
        <f>+'IS Actual &amp; Forecast'!AK18</f>
        <v>2168256.4347122195</v>
      </c>
      <c r="AL60" s="8">
        <f>+'IS Actual &amp; Forecast'!AL18</f>
        <v>2707703.2346244738</v>
      </c>
      <c r="AM60" s="8">
        <f>+'IS Actual &amp; Forecast'!AM18</f>
        <v>2713375.8138210047</v>
      </c>
      <c r="AN60" s="8">
        <f>+'IS Actual &amp; Forecast'!AN18</f>
        <v>2436500.730778045</v>
      </c>
      <c r="AO60" s="8">
        <f>+'IS Actual &amp; Forecast'!AO18</f>
        <v>2160363.9812898668</v>
      </c>
      <c r="AP60" s="8">
        <f>+'IS Actual &amp; Forecast'!AP18</f>
        <v>1698068.8046699725</v>
      </c>
      <c r="AQ60" s="8">
        <f t="shared" si="34"/>
        <v>27718399.668733791</v>
      </c>
    </row>
    <row r="61" spans="1:43" x14ac:dyDescent="0.15">
      <c r="A61" s="1" t="s">
        <v>42</v>
      </c>
      <c r="C61" s="8">
        <v>-1684350</v>
      </c>
      <c r="D61" s="8">
        <f>-D60*1.01</f>
        <v>-1809206.314608</v>
      </c>
      <c r="E61" s="8">
        <f>-E60*0.98</f>
        <v>-1818354.3088233601</v>
      </c>
      <c r="F61" s="8">
        <f>-F60*1.03</f>
        <v>-1533964.5169280737</v>
      </c>
      <c r="G61" s="8">
        <f>-G60*1.02</f>
        <v>-1716783.3020626488</v>
      </c>
      <c r="H61" s="8">
        <f>-H60*0.98</f>
        <v>-1803693.5440922021</v>
      </c>
      <c r="I61" s="8">
        <f>-I60*1.03</f>
        <v>-1783821.7883001831</v>
      </c>
      <c r="J61" s="8">
        <f>-J60*0.97</f>
        <v>-2057175.30645</v>
      </c>
      <c r="K61" s="8">
        <f t="shared" ref="K61:L61" si="43">-K60*0.98</f>
        <v>-1781906.7683318816</v>
      </c>
      <c r="L61" s="8">
        <f t="shared" si="43"/>
        <v>-1614415.957199788</v>
      </c>
      <c r="M61" s="8">
        <f t="shared" ref="M61:N61" si="44">-M60*1.03</f>
        <v>-1565677.8368114452</v>
      </c>
      <c r="N61" s="8">
        <f t="shared" si="44"/>
        <v>-1287753.6427852775</v>
      </c>
      <c r="O61" s="8">
        <f t="shared" si="41"/>
        <v>-20457103.28639286</v>
      </c>
      <c r="Q61" s="8">
        <f>-Q60*1.03</f>
        <v>-1892412.4743817186</v>
      </c>
      <c r="R61" s="8">
        <f>-R60*0.97</f>
        <v>-2079238.8123683</v>
      </c>
      <c r="S61" s="8">
        <f t="shared" ref="S61:T61" si="45">-S60*0.98</f>
        <v>-1824516.666586437</v>
      </c>
      <c r="T61" s="8">
        <f t="shared" si="45"/>
        <v>-1664757.5615597721</v>
      </c>
      <c r="U61" s="8">
        <f t="shared" ref="U61:V61" si="46">-U60*1.03</f>
        <v>-1614554.3754286915</v>
      </c>
      <c r="V61" s="8">
        <f t="shared" si="46"/>
        <v>-1342157.7889543157</v>
      </c>
      <c r="W61" s="8">
        <f>+'BS Actual &amp; Forecast'!V12-'IS Actual &amp; Forecast'!W18-'BS Actual &amp; Forecast'!W12</f>
        <v>-1579392.4528006562</v>
      </c>
      <c r="X61" s="8">
        <f>+'BS Actual &amp; Forecast'!W12-'IS Actual &amp; Forecast'!X18-'BS Actual &amp; Forecast'!X12</f>
        <v>-2095065.836939852</v>
      </c>
      <c r="Y61" s="8">
        <f>+'BS Actual &amp; Forecast'!X12-'IS Actual &amp; Forecast'!Y18-'BS Actual &amp; Forecast'!Y12</f>
        <v>-2421294.6398655614</v>
      </c>
      <c r="Z61" s="8">
        <f>+'BS Actual &amp; Forecast'!Y12-'IS Actual &amp; Forecast'!Z18-'BS Actual &amp; Forecast'!Z12</f>
        <v>-2410165.1579490718</v>
      </c>
      <c r="AA61" s="8">
        <f>+'BS Actual &amp; Forecast'!Z12-'IS Actual &amp; Forecast'!AA18-'BS Actual &amp; Forecast'!AA12</f>
        <v>-2220460.7063391949</v>
      </c>
      <c r="AB61" s="8">
        <f>+'BS Actual &amp; Forecast'!AA12-'IS Actual &amp; Forecast'!AB18-'BS Actual &amp; Forecast'!AB12</f>
        <v>-1908275.7988835257</v>
      </c>
      <c r="AC61" s="8">
        <f t="shared" si="42"/>
        <v>-23052292.272057101</v>
      </c>
      <c r="AE61" s="8">
        <f>+'BS Actual &amp; Forecast'!AB12-'IS Actual &amp; Forecast'!AE18-'BS Actual &amp; Forecast'!AE12</f>
        <v>-2709728.0131413136</v>
      </c>
      <c r="AF61" s="8">
        <f>+'BS Actual &amp; Forecast'!AE12-'IS Actual &amp; Forecast'!AF18-'BS Actual &amp; Forecast'!AF12</f>
        <v>-3655798.8901398471</v>
      </c>
      <c r="AG61" s="8">
        <f>+'BS Actual &amp; Forecast'!AF12-'IS Actual &amp; Forecast'!AG18-'BS Actual &amp; Forecast'!AG12</f>
        <v>-2150472.3717616783</v>
      </c>
      <c r="AH61" s="8">
        <f>+'BS Actual &amp; Forecast'!AG12-'IS Actual &amp; Forecast'!AH18-'BS Actual &amp; Forecast'!AH12</f>
        <v>-1616742.3756866325</v>
      </c>
      <c r="AI61" s="8">
        <f>+'BS Actual &amp; Forecast'!AH12-'IS Actual &amp; Forecast'!AI18-'BS Actual &amp; Forecast'!AI12</f>
        <v>-1792418.440172401</v>
      </c>
      <c r="AJ61" s="8">
        <f>+'BS Actual &amp; Forecast'!AI12-'IS Actual &amp; Forecast'!AJ18-'BS Actual &amp; Forecast'!AJ12</f>
        <v>-1885376.0082634473</v>
      </c>
      <c r="AK61" s="8">
        <f>+'BS Actual &amp; Forecast'!AJ12-'IS Actual &amp; Forecast'!AK18-'BS Actual &amp; Forecast'!AK12</f>
        <v>-2186124.5895849466</v>
      </c>
      <c r="AL61" s="8">
        <f>+'BS Actual &amp; Forecast'!AK12-'IS Actual &amp; Forecast'!AL18-'BS Actual &amp; Forecast'!AL12</f>
        <v>-2749247.7518870938</v>
      </c>
      <c r="AM61" s="8">
        <f>+'BS Actual &amp; Forecast'!AL12-'IS Actual &amp; Forecast'!AM18-'BS Actual &amp; Forecast'!AM12</f>
        <v>-2740631.7827764438</v>
      </c>
      <c r="AN61" s="8">
        <f>+'BS Actual &amp; Forecast'!AM12-'IS Actual &amp; Forecast'!AN18-'BS Actual &amp; Forecast'!AN12</f>
        <v>-2422940.6055857236</v>
      </c>
      <c r="AO61" s="8">
        <f>+'BS Actual &amp; Forecast'!AN12-'IS Actual &amp; Forecast'!AO18-'BS Actual &amp; Forecast'!AO12</f>
        <v>-2132713.3896633098</v>
      </c>
      <c r="AP61" s="8">
        <f>+'BS Actual &amp; Forecast'!AO12-'IS Actual &amp; Forecast'!AP18-'BS Actual &amp; Forecast'!AP12</f>
        <v>-1661147.2083645689</v>
      </c>
      <c r="AQ61" s="8">
        <f t="shared" si="34"/>
        <v>-27703341.427027408</v>
      </c>
    </row>
    <row r="62" spans="1:43" x14ac:dyDescent="0.15">
      <c r="A62" s="1" t="s">
        <v>45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f t="shared" si="41"/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f t="shared" si="42"/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f t="shared" si="34"/>
        <v>0</v>
      </c>
    </row>
    <row r="63" spans="1:43" x14ac:dyDescent="0.15">
      <c r="A63" s="53" t="s">
        <v>201</v>
      </c>
      <c r="C63" s="8">
        <v>0</v>
      </c>
      <c r="D63" s="8">
        <v>-1000</v>
      </c>
      <c r="E63" s="8"/>
      <c r="F63" s="8"/>
      <c r="G63" s="8"/>
      <c r="H63" s="8"/>
      <c r="I63" s="8"/>
      <c r="J63" s="8">
        <v>2500</v>
      </c>
      <c r="K63" s="8"/>
      <c r="L63" s="8"/>
      <c r="M63" s="8"/>
      <c r="N63" s="8"/>
      <c r="O63" s="8">
        <f t="shared" si="41"/>
        <v>1500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</row>
    <row r="64" spans="1:43" x14ac:dyDescent="0.15">
      <c r="A64" s="1" t="s">
        <v>89</v>
      </c>
      <c r="C64" s="8">
        <v>-75000</v>
      </c>
      <c r="D64" s="8">
        <v>-75000</v>
      </c>
      <c r="E64" s="8">
        <v>-75000</v>
      </c>
      <c r="F64" s="8">
        <v>-75000</v>
      </c>
      <c r="G64" s="8">
        <v>-75000</v>
      </c>
      <c r="H64" s="8">
        <v>-75000</v>
      </c>
      <c r="I64" s="8">
        <v>-75000</v>
      </c>
      <c r="J64" s="8">
        <v>-75000</v>
      </c>
      <c r="K64" s="8">
        <v>-75000</v>
      </c>
      <c r="L64" s="8">
        <v>-75000</v>
      </c>
      <c r="M64" s="8">
        <v>-75000</v>
      </c>
      <c r="N64" s="8">
        <v>-400000</v>
      </c>
      <c r="O64" s="8">
        <f>SUM(C64:N64)</f>
        <v>-1225000</v>
      </c>
      <c r="Q64" s="8">
        <v>-100000</v>
      </c>
      <c r="R64" s="8">
        <v>-100000</v>
      </c>
      <c r="S64" s="8">
        <v>-100000</v>
      </c>
      <c r="T64" s="8">
        <v>-100000</v>
      </c>
      <c r="U64" s="8">
        <v>-100000</v>
      </c>
      <c r="V64" s="8">
        <v>-100000</v>
      </c>
      <c r="W64" s="8">
        <f>+'BS Actual &amp; Forecast'!W41-'BS Actual &amp; Forecast'!V41</f>
        <v>-100000</v>
      </c>
      <c r="X64" s="8">
        <f>+'BS Actual &amp; Forecast'!X41-'BS Actual &amp; Forecast'!W41</f>
        <v>0</v>
      </c>
      <c r="Y64" s="8">
        <f>+'BS Actual &amp; Forecast'!Y41-'BS Actual &amp; Forecast'!X41</f>
        <v>0</v>
      </c>
      <c r="Z64" s="8">
        <f>+'BS Actual &amp; Forecast'!Z41-'BS Actual &amp; Forecast'!Y41</f>
        <v>0</v>
      </c>
      <c r="AA64" s="8">
        <f>+'BS Actual &amp; Forecast'!AA41-'BS Actual &amp; Forecast'!Z41</f>
        <v>0</v>
      </c>
      <c r="AB64" s="8">
        <f>+'BS Actual &amp; Forecast'!AB41-'BS Actual &amp; Forecast'!AA41</f>
        <v>0</v>
      </c>
      <c r="AC64" s="8">
        <f>SUM(Q64:AB64)</f>
        <v>-700000</v>
      </c>
      <c r="AE64" s="8">
        <f>+'BS Actual &amp; Forecast'!AE41-'BS Actual &amp; Forecast'!AB41</f>
        <v>0</v>
      </c>
      <c r="AF64" s="8">
        <f>+'BS Actual &amp; Forecast'!AF41-'BS Actual &amp; Forecast'!AE41</f>
        <v>0</v>
      </c>
      <c r="AG64" s="8">
        <f>+'BS Actual &amp; Forecast'!AG41-'BS Actual &amp; Forecast'!AF41</f>
        <v>-100000</v>
      </c>
      <c r="AH64" s="8">
        <f>+'BS Actual &amp; Forecast'!AH41-'BS Actual &amp; Forecast'!AG41</f>
        <v>-100000</v>
      </c>
      <c r="AI64" s="8">
        <f>+'BS Actual &amp; Forecast'!AI41-'BS Actual &amp; Forecast'!AH41</f>
        <v>-100000</v>
      </c>
      <c r="AJ64" s="8">
        <f>+'BS Actual &amp; Forecast'!AJ41-'BS Actual &amp; Forecast'!AI41</f>
        <v>-100000</v>
      </c>
      <c r="AK64" s="8">
        <f>+'BS Actual &amp; Forecast'!AK41-'BS Actual &amp; Forecast'!AJ41</f>
        <v>-100000</v>
      </c>
      <c r="AL64" s="8">
        <f>+'BS Actual &amp; Forecast'!AL41-'BS Actual &amp; Forecast'!AK41</f>
        <v>-100000</v>
      </c>
      <c r="AM64" s="8">
        <f>+'BS Actual &amp; Forecast'!AM41-'BS Actual &amp; Forecast'!AL41</f>
        <v>-100000</v>
      </c>
      <c r="AN64" s="8">
        <f>+'BS Actual &amp; Forecast'!AN41-'BS Actual &amp; Forecast'!AM41</f>
        <v>-100000</v>
      </c>
      <c r="AO64" s="8">
        <f>+'BS Actual &amp; Forecast'!AO41-'BS Actual &amp; Forecast'!AN41</f>
        <v>-100000</v>
      </c>
      <c r="AP64" s="8">
        <f>+'BS Actual &amp; Forecast'!AP41-'BS Actual &amp; Forecast'!AO41</f>
        <v>-600000</v>
      </c>
      <c r="AQ64" s="8">
        <f t="shared" si="34"/>
        <v>-1500000</v>
      </c>
    </row>
    <row r="65" spans="1:43" x14ac:dyDescent="0.15">
      <c r="A65" s="1" t="s">
        <v>46</v>
      </c>
      <c r="C65" s="8">
        <v>0</v>
      </c>
      <c r="D65" s="8">
        <f>(+D60/C60)*'BS Actual &amp; Forecast'!C31-'BS Actual &amp; Forecast'!C31</f>
        <v>129477.56565420562</v>
      </c>
      <c r="E65" s="8">
        <f>(+E60/D60)*'BS Actual &amp; Forecast'!D31-'BS Actual &amp; Forecast'!D31</f>
        <v>64978.847614486236</v>
      </c>
      <c r="F65" s="8">
        <f>(+F60/E60)*'BS Actual &amp; Forecast'!E31-'BS Actual &amp; Forecast'!E31</f>
        <v>-370792.07037153607</v>
      </c>
      <c r="G65" s="8">
        <f>(+G60/F60)*'BS Actual &amp; Forecast'!F31-'BS Actual &amp; Forecast'!F31</f>
        <v>196277.57846143865</v>
      </c>
      <c r="H65" s="8">
        <f>(+H60/G60)*'BS Actual &amp; Forecast'!G31-'BS Actual &amp; Forecast'!G31</f>
        <v>159366.00823093345</v>
      </c>
      <c r="I65" s="8">
        <f>(+I60/H60)*'BS Actual &amp; Forecast'!H31-'BS Actual &amp; Forecast'!H31</f>
        <v>-110006.81401496404</v>
      </c>
      <c r="J65" s="8">
        <f>(+J60/I60)*'BS Actual &amp; Forecast'!I31-'BS Actual &amp; Forecast'!I31</f>
        <v>393834.65996322362</v>
      </c>
      <c r="K65" s="8">
        <f>(+K60/J60)*'BS Actual &amp; Forecast'!J31-'BS Actual &amp; Forecast'!J31</f>
        <v>-306339.40131926979</v>
      </c>
      <c r="L65" s="8">
        <f>(+L60/K60)*'BS Actual &amp; Forecast'!K31-'BS Actual &amp; Forecast'!K31</f>
        <v>-173062.719808341</v>
      </c>
      <c r="M65" s="8">
        <f>(+M60/L60)*'BS Actual &amp; Forecast'!L31-'BS Actual &amp; Forecast'!L31</f>
        <v>-128891.68156349612</v>
      </c>
      <c r="N65" s="8">
        <f>(+N60/M60)*'BS Actual &amp; Forecast'!M31-'BS Actual &amp; Forecast'!M31</f>
        <v>-273229.59902129997</v>
      </c>
      <c r="O65" s="8">
        <f t="shared" si="41"/>
        <v>-418387.62617461942</v>
      </c>
      <c r="Q65" s="8">
        <v>75437</v>
      </c>
      <c r="R65" s="8">
        <v>268998</v>
      </c>
      <c r="S65" s="8">
        <v>167333</v>
      </c>
      <c r="T65" s="8">
        <f>(+T60/S60)*'BS Actual &amp; Forecast'!S31-'BS Actual &amp; Forecast'!S31</f>
        <v>-155665.79867836041</v>
      </c>
      <c r="U65" s="8">
        <f>(+U60/T60)*'BS Actual &amp; Forecast'!T31-'BS Actual &amp; Forecast'!T31</f>
        <v>-125285.17865384417</v>
      </c>
      <c r="V65" s="8">
        <f>(+V60/U60)*'BS Actual &amp; Forecast'!U31-'BS Actual &amp; Forecast'!U31</f>
        <v>-252532.97627001954</v>
      </c>
      <c r="W65" s="8">
        <f>+'BS Actual &amp; Forecast'!W31-'BS Actual &amp; Forecast'!V31</f>
        <v>27713.023662588559</v>
      </c>
      <c r="X65" s="8">
        <f>+'BS Actual &amp; Forecast'!X31-'BS Actual &amp; Forecast'!W31</f>
        <v>315122.61806957284</v>
      </c>
      <c r="Y65" s="8">
        <f>+'BS Actual &amp; Forecast'!Y31-'BS Actual &amp; Forecast'!X31</f>
        <v>315543.471339104</v>
      </c>
      <c r="Z65" s="8">
        <f>+'BS Actual &amp; Forecast'!Z31-'BS Actual &amp; Forecast'!Y31</f>
        <v>140224.09959348384</v>
      </c>
      <c r="AA65" s="8">
        <f>+'BS Actual &amp; Forecast'!AA31-'BS Actual &amp; Forecast'!Z31</f>
        <v>-64459.550265631871</v>
      </c>
      <c r="AB65" s="8">
        <f>+'BS Actual &amp; Forecast'!AB31-'BS Actual &amp; Forecast'!AA31</f>
        <v>-192272.42472820706</v>
      </c>
      <c r="AC65" s="8">
        <f t="shared" si="42"/>
        <v>520155.28406868619</v>
      </c>
      <c r="AE65" s="8">
        <f>+'BS Actual &amp; Forecast'!AE31-'BS Actual &amp; Forecast'!AB31</f>
        <v>-601177.48872911022</v>
      </c>
      <c r="AF65" s="8">
        <f>+'BS Actual &amp; Forecast'!AF31-'BS Actual &amp; Forecast'!AE31</f>
        <v>1477777.628014944</v>
      </c>
      <c r="AG65" s="8">
        <f>+'BS Actual &amp; Forecast'!AG31-'BS Actual &amp; Forecast'!AF31</f>
        <v>-247946.3662823285</v>
      </c>
      <c r="AH65" s="8">
        <f>+'BS Actual &amp; Forecast'!AH31-'BS Actual &amp; Forecast'!AG31</f>
        <v>-741344.74378181319</v>
      </c>
      <c r="AI65" s="8">
        <f>+'BS Actual &amp; Forecast'!AI31-'BS Actual &amp; Forecast'!AH31</f>
        <v>-155304.51161020016</v>
      </c>
      <c r="AJ65" s="8">
        <f>+'BS Actual &amp; Forecast'!AJ31-'BS Actual &amp; Forecast'!AI31</f>
        <v>72638.491323572583</v>
      </c>
      <c r="AK65" s="8">
        <f>+'BS Actual &amp; Forecast'!AK31-'BS Actual &amp; Forecast'!AJ31</f>
        <v>148972.92781835538</v>
      </c>
      <c r="AL65" s="8">
        <f>+'BS Actual &amp; Forecast'!AL31-'BS Actual &amp; Forecast'!AK31</f>
        <v>346510.30387712712</v>
      </c>
      <c r="AM65" s="8">
        <f>+'BS Actual &amp; Forecast'!AM31-'BS Actual &amp; Forecast'!AL31</f>
        <v>227356.10499167047</v>
      </c>
      <c r="AN65" s="8">
        <f>+'BS Actual &amp; Forecast'!AN31-'BS Actual &amp; Forecast'!AM31</f>
        <v>-112775.78260270506</v>
      </c>
      <c r="AO65" s="8">
        <f>+'BS Actual &amp; Forecast'!AO31-'BS Actual &amp; Forecast'!AN31</f>
        <v>-230194.08361466788</v>
      </c>
      <c r="AP65" s="8">
        <f>+'BS Actual &amp; Forecast'!AP31-'BS Actual &amp; Forecast'!AO31</f>
        <v>-307450.18080565729</v>
      </c>
      <c r="AQ65" s="8">
        <f t="shared" si="34"/>
        <v>-122937.70140081272</v>
      </c>
    </row>
    <row r="66" spans="1:43" x14ac:dyDescent="0.15">
      <c r="A66" s="86" t="s">
        <v>168</v>
      </c>
      <c r="B66" s="10"/>
      <c r="C66" s="6">
        <v>0</v>
      </c>
      <c r="D66" s="6">
        <f>+'BS Actual &amp; Forecast'!C13-'BS Actual &amp; Forecast'!D13+'BS Actual &amp; Forecast'!D33-'BS Actual &amp; Forecast'!C33</f>
        <v>-25571.405499999993</v>
      </c>
      <c r="E66" s="6">
        <f>+'BS Actual &amp; Forecast'!D13-'BS Actual &amp; Forecast'!E13+'BS Actual &amp; Forecast'!E33-'BS Actual &amp; Forecast'!D33</f>
        <v>-46944.477704999968</v>
      </c>
      <c r="F66" s="6">
        <f>+'BS Actual &amp; Forecast'!E13-'BS Actual &amp; Forecast'!F13+'BS Actual &amp; Forecast'!F33-'BS Actual &amp; Forecast'!E33</f>
        <v>25764.60756699997</v>
      </c>
      <c r="G66" s="6">
        <f>+'BS Actual &amp; Forecast'!F13-'BS Actual &amp; Forecast'!G13+'BS Actual &amp; Forecast'!G33-'BS Actual &amp; Forecast'!F33</f>
        <v>-12098.163553199964</v>
      </c>
      <c r="H66" s="6">
        <f>+'BS Actual &amp; Forecast'!G13-'BS Actual &amp; Forecast'!H13+'BS Actual &amp; Forecast'!H33-'BS Actual &amp; Forecast'!G33</f>
        <v>-25043.198555123992</v>
      </c>
      <c r="I66" s="6">
        <f>+'BS Actual &amp; Forecast'!H13-'BS Actual &amp; Forecast'!I13+'BS Actual &amp; Forecast'!I33-'BS Actual &amp; Forecast'!H33</f>
        <v>79751.094142694375</v>
      </c>
      <c r="J66" s="6">
        <f>+'BS Actual &amp; Forecast'!I13-'BS Actual &amp; Forecast'!J13+'BS Actual &amp; Forecast'!J33-'BS Actual &amp; Forecast'!I33</f>
        <v>77514.325174161</v>
      </c>
      <c r="K66" s="6">
        <f>+'BS Actual &amp; Forecast'!J13-'BS Actual &amp; Forecast'!K13+'BS Actual &amp; Forecast'!K33-'BS Actual &amp; Forecast'!J33</f>
        <v>-36990.302018565941</v>
      </c>
      <c r="L66" s="6">
        <f>+'BS Actual &amp; Forecast'!K13-'BS Actual &amp; Forecast'!L13+'BS Actual &amp; Forecast'!L33-'BS Actual &amp; Forecast'!K33</f>
        <v>-86506.480354258791</v>
      </c>
      <c r="M66" s="6">
        <f>+'BS Actual &amp; Forecast'!L13-'BS Actual &amp; Forecast'!M13+'BS Actual &amp; Forecast'!M33-'BS Actual &amp; Forecast'!L33</f>
        <v>63009.44987965608</v>
      </c>
      <c r="N66" s="6">
        <f>+'BS Actual &amp; Forecast'!M13-'BS Actual &amp; Forecast'!N13+'BS Actual &amp; Forecast'!N33-'BS Actual &amp; Forecast'!M33</f>
        <v>-7141.07098636101</v>
      </c>
      <c r="O66" s="6">
        <f t="shared" si="41"/>
        <v>5744.3780910017667</v>
      </c>
      <c r="Q66" s="6">
        <f>+'BS Actual &amp; Forecast'!N13-'BS Actual &amp; Forecast'!Q13+'BS Actual &amp; Forecast'!Q33-'BS Actual &amp; Forecast'!N33</f>
        <v>58842.424927614746</v>
      </c>
      <c r="R66" s="6">
        <f>+'BS Actual &amp; Forecast'!Q13-'BS Actual &amp; Forecast'!R13+'BS Actual &amp; Forecast'!R33-'BS Actual &amp; Forecast'!Q33</f>
        <v>-36394.328260989161</v>
      </c>
      <c r="S66" s="6">
        <f>+'BS Actual &amp; Forecast'!R13-'BS Actual &amp; Forecast'!S13+'BS Actual &amp; Forecast'!S33-'BS Actual &amp; Forecast'!R33</f>
        <v>6536.1242591164773</v>
      </c>
      <c r="T66" s="6">
        <f>+'BS Actual &amp; Forecast'!S13-'BS Actual &amp; Forecast'!T13+'BS Actual &amp; Forecast'!T33-'BS Actual &amp; Forecast'!S33</f>
        <v>13801.026373124332</v>
      </c>
      <c r="U66" s="6">
        <f>+'BS Actual &amp; Forecast'!T13-'BS Actual &amp; Forecast'!U13+'BS Actual &amp; Forecast'!U33-'BS Actual &amp; Forecast'!T33</f>
        <v>-10374.3325077974</v>
      </c>
      <c r="V66" s="6">
        <f>+'BS Actual &amp; Forecast'!U13-'BS Actual &amp; Forecast'!V13+'BS Actual &amp; Forecast'!V33-'BS Actual &amp; Forecast'!U33</f>
        <v>-11001.437681776122</v>
      </c>
      <c r="W66" s="6">
        <f>+'BS Actual &amp; Forecast'!V13-'BS Actual &amp; Forecast'!W13+'BS Actual &amp; Forecast'!W33-'BS Actual &amp; Forecast'!V33</f>
        <v>-75679.283942683833</v>
      </c>
      <c r="X66" s="6">
        <f>+'BS Actual &amp; Forecast'!W13-'BS Actual &amp; Forecast'!X13+'BS Actual &amp; Forecast'!X33-'BS Actual &amp; Forecast'!W33</f>
        <v>108837.64120499848</v>
      </c>
      <c r="Y66" s="6">
        <f>+'BS Actual &amp; Forecast'!X13-'BS Actual &amp; Forecast'!Y13+'BS Actual &amp; Forecast'!Y33-'BS Actual &amp; Forecast'!X33</f>
        <v>108976.98942930286</v>
      </c>
      <c r="Z66" s="6">
        <f>+'BS Actual &amp; Forecast'!Y13-'BS Actual &amp; Forecast'!Z13+'BS Actual &amp; Forecast'!Z33-'BS Actual &amp; Forecast'!Y33</f>
        <v>44378.372148174443</v>
      </c>
      <c r="AA66" s="6">
        <f>+'BS Actual &amp; Forecast'!Z13-'BS Actual &amp; Forecast'!AA13+'BS Actual &amp; Forecast'!AA33-'BS Actual &amp; Forecast'!Z33</f>
        <v>-26084.535978857311</v>
      </c>
      <c r="AB66" s="6">
        <f>+'BS Actual &amp; Forecast'!AA13-'BS Actual &amp; Forecast'!AB13+'BS Actual &amp; Forecast'!AB33-'BS Actual &amp; Forecast'!AA33</f>
        <v>-65752.888411561493</v>
      </c>
      <c r="AC66" s="87">
        <f t="shared" si="42"/>
        <v>116085.77155866602</v>
      </c>
      <c r="AE66" s="6">
        <f>+'BS Actual &amp; Forecast'!AB13-'BS Actual &amp; Forecast'!AE13+'BS Actual &amp; Forecast'!AE33-'BS Actual &amp; Forecast'!AB33</f>
        <v>78356.931001190445</v>
      </c>
      <c r="AF66" s="6">
        <f>+'BS Actual &amp; Forecast'!AE13-'BS Actual &amp; Forecast'!AF13+'BS Actual &amp; Forecast'!AF33-'BS Actual &amp; Forecast'!AE33</f>
        <v>220652.75256791199</v>
      </c>
      <c r="AG66" s="6">
        <f>+'BS Actual &amp; Forecast'!AF13-'BS Actual &amp; Forecast'!AG13+'BS Actual &amp; Forecast'!AG33-'BS Actual &amp; Forecast'!AF33</f>
        <v>-81513.629520792747</v>
      </c>
      <c r="AH66" s="6">
        <f>+'BS Actual &amp; Forecast'!AG13-'BS Actual &amp; Forecast'!AH13+'BS Actual &amp; Forecast'!AH33-'BS Actual &amp; Forecast'!AG33</f>
        <v>-249937.5858648346</v>
      </c>
      <c r="AI66" s="6">
        <f>+'BS Actual &amp; Forecast'!AH13-'BS Actual &amp; Forecast'!AI13+'BS Actual &amp; Forecast'!AI33-'BS Actual &amp; Forecast'!AH33</f>
        <v>-53207.703605610179</v>
      </c>
      <c r="AJ66" s="6">
        <f>+'BS Actual &amp; Forecast'!AI13-'BS Actual &amp; Forecast'!AJ13+'BS Actual &amp; Forecast'!AJ33-'BS Actual &amp; Forecast'!AI33</f>
        <v>24661.782407151884</v>
      </c>
      <c r="AK66" s="6">
        <f>+'BS Actual &amp; Forecast'!AJ13-'BS Actual &amp; Forecast'!AK13+'BS Actual &amp; Forecast'!AK33-'BS Actual &amp; Forecast'!AJ33</f>
        <v>51460.286033453303</v>
      </c>
      <c r="AL66" s="6">
        <f>+'BS Actual &amp; Forecast'!AK13-'BS Actual &amp; Forecast'!AL13+'BS Actual &amp; Forecast'!AL33-'BS Actual &amp; Forecast'!AK33</f>
        <v>119648.20971634542</v>
      </c>
      <c r="AM66" s="6">
        <f>+'BS Actual &amp; Forecast'!AL13-'BS Actual &amp; Forecast'!AM13+'BS Actual &amp; Forecast'!AM33-'BS Actual &amp; Forecast'!AL33</f>
        <v>78497.190591665101</v>
      </c>
      <c r="AN66" s="6">
        <f>+'BS Actual &amp; Forecast'!AM13-'BS Actual &amp; Forecast'!AN13+'BS Actual &amp; Forecast'!AN33-'BS Actual &amp; Forecast'!AM33</f>
        <v>-39053.160553885624</v>
      </c>
      <c r="AO66" s="6">
        <f>+'BS Actual &amp; Forecast'!AN13-'BS Actual &amp; Forecast'!AO13+'BS Actual &amp; Forecast'!AO33-'BS Actual &amp; Forecast'!AN33</f>
        <v>-79633.703884483897</v>
      </c>
      <c r="AP66" s="6">
        <f>+'BS Actual &amp; Forecast'!AO13-'BS Actual &amp; Forecast'!AP13+'BS Actual &amp; Forecast'!AP33-'BS Actual &amp; Forecast'!AO33</f>
        <v>-106334.19735956239</v>
      </c>
      <c r="AQ66" s="6">
        <f t="shared" si="34"/>
        <v>-36402.828471451299</v>
      </c>
    </row>
    <row r="67" spans="1:43" x14ac:dyDescent="0.15">
      <c r="A67" s="17" t="s">
        <v>35</v>
      </c>
      <c r="B67" s="10"/>
      <c r="C67" s="11">
        <f t="shared" ref="C67:O67" si="47">SUM(C58:C66)</f>
        <v>-159722.86400000006</v>
      </c>
      <c r="D67" s="11">
        <f t="shared" si="47"/>
        <v>31369.042346205679</v>
      </c>
      <c r="E67" s="11">
        <f t="shared" si="47"/>
        <v>-63463.023121873848</v>
      </c>
      <c r="F67" s="11">
        <f t="shared" si="47"/>
        <v>-412874.74379468989</v>
      </c>
      <c r="G67" s="11">
        <f t="shared" si="47"/>
        <v>115260.11137363175</v>
      </c>
      <c r="H67" s="11">
        <f t="shared" si="47"/>
        <v>52415.456436035922</v>
      </c>
      <c r="I67" s="11">
        <f t="shared" si="47"/>
        <v>-94914.362854115316</v>
      </c>
      <c r="J67" s="11">
        <f t="shared" si="47"/>
        <v>388058.95368738449</v>
      </c>
      <c r="K67" s="11">
        <f t="shared" si="47"/>
        <v>-424949.41777608322</v>
      </c>
      <c r="L67" s="11">
        <f t="shared" si="47"/>
        <v>-339448.87537707947</v>
      </c>
      <c r="M67" s="11">
        <f t="shared" si="47"/>
        <v>-132581.10977827781</v>
      </c>
      <c r="N67" s="11">
        <f t="shared" si="47"/>
        <v>-673279.4992145854</v>
      </c>
      <c r="O67" s="11">
        <f t="shared" si="47"/>
        <v>-1714130.3320734426</v>
      </c>
      <c r="Q67" s="11">
        <f t="shared" ref="Q67:AC67" si="48">SUM(Q58:Q66)</f>
        <v>43326.866371871089</v>
      </c>
      <c r="R67" s="11">
        <f t="shared" si="48"/>
        <v>120263.59646071075</v>
      </c>
      <c r="S67" s="11">
        <f t="shared" si="48"/>
        <v>66829.44482046843</v>
      </c>
      <c r="T67" s="11">
        <f t="shared" si="48"/>
        <v>-246851.87602831342</v>
      </c>
      <c r="U67" s="11">
        <f t="shared" si="48"/>
        <v>-227164.87608957954</v>
      </c>
      <c r="V67" s="11">
        <f t="shared" si="48"/>
        <v>-156689.56173489417</v>
      </c>
      <c r="W67" s="11">
        <f t="shared" si="48"/>
        <v>139724.03515044134</v>
      </c>
      <c r="X67" s="11">
        <f t="shared" si="48"/>
        <v>-251011.45831007289</v>
      </c>
      <c r="Y67" s="11">
        <f t="shared" si="48"/>
        <v>-251392.103025813</v>
      </c>
      <c r="Z67" s="11">
        <f t="shared" si="48"/>
        <v>-743861.03309100389</v>
      </c>
      <c r="AA67" s="11">
        <f t="shared" si="48"/>
        <v>94808.361251186463</v>
      </c>
      <c r="AB67" s="11">
        <f t="shared" si="48"/>
        <v>-190323.63497642917</v>
      </c>
      <c r="AC67" s="11">
        <f t="shared" si="48"/>
        <v>-1602342.2392014279</v>
      </c>
      <c r="AE67" s="11">
        <f t="shared" ref="AE67:AQ67" si="49">SUM(AE58:AE66)</f>
        <v>-584193.20040754031</v>
      </c>
      <c r="AF67" s="11">
        <f t="shared" si="49"/>
        <v>22079.246871534269</v>
      </c>
      <c r="AG67" s="11">
        <f t="shared" si="49"/>
        <v>706565.59638346382</v>
      </c>
      <c r="AH67" s="11">
        <f t="shared" si="49"/>
        <v>605201.04882446409</v>
      </c>
      <c r="AI67" s="11">
        <f t="shared" si="49"/>
        <v>97695.099199859891</v>
      </c>
      <c r="AJ67" s="11">
        <f t="shared" si="49"/>
        <v>-155660.53627006162</v>
      </c>
      <c r="AK67" s="11">
        <f t="shared" si="49"/>
        <v>-218741.08201199945</v>
      </c>
      <c r="AL67" s="11">
        <f t="shared" si="49"/>
        <v>-375940.60848979745</v>
      </c>
      <c r="AM67" s="11">
        <f t="shared" si="49"/>
        <v>-281013.13026774547</v>
      </c>
      <c r="AN67" s="11">
        <f t="shared" si="49"/>
        <v>-9607.8833486526273</v>
      </c>
      <c r="AO67" s="11">
        <f t="shared" si="49"/>
        <v>84087.68253601098</v>
      </c>
      <c r="AP67" s="11">
        <f t="shared" si="49"/>
        <v>-354263.31474908814</v>
      </c>
      <c r="AQ67" s="11">
        <f t="shared" si="49"/>
        <v>-463791.08172955294</v>
      </c>
    </row>
    <row r="68" spans="1:43" x14ac:dyDescent="0.15">
      <c r="A68" s="17"/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1:43" x14ac:dyDescent="0.15">
      <c r="A69" s="17" t="s">
        <v>47</v>
      </c>
      <c r="B69" s="10"/>
      <c r="C69" s="6">
        <f t="shared" ref="C69:O69" si="50">+C38+C46+C53+C67</f>
        <v>-56529.475000000006</v>
      </c>
      <c r="D69" s="6">
        <f t="shared" si="50"/>
        <v>196694.03654620584</v>
      </c>
      <c r="E69" s="6">
        <f t="shared" si="50"/>
        <v>41339.450588983484</v>
      </c>
      <c r="F69" s="6">
        <f t="shared" si="50"/>
        <v>-356515.13262563129</v>
      </c>
      <c r="G69" s="6">
        <f t="shared" si="50"/>
        <v>209831.16244376302</v>
      </c>
      <c r="H69" s="6">
        <f t="shared" si="50"/>
        <v>210605.95808210241</v>
      </c>
      <c r="I69" s="6">
        <f t="shared" si="50"/>
        <v>70352.780209818418</v>
      </c>
      <c r="J69" s="6">
        <f t="shared" si="50"/>
        <v>537316.05142606725</v>
      </c>
      <c r="K69" s="6">
        <f t="shared" si="50"/>
        <v>-289420.67827523721</v>
      </c>
      <c r="L69" s="6">
        <f t="shared" si="50"/>
        <v>-292940.23949825548</v>
      </c>
      <c r="M69" s="6">
        <f t="shared" si="50"/>
        <v>-31167.670788903662</v>
      </c>
      <c r="N69" s="6">
        <f t="shared" si="50"/>
        <v>-613253.61087233573</v>
      </c>
      <c r="O69" s="6">
        <f t="shared" si="50"/>
        <v>-373687.36776341801</v>
      </c>
      <c r="Q69" s="6">
        <f t="shared" ref="Q69:AC69" si="51">+Q38+Q46+Q53+Q67</f>
        <v>148718.89284708197</v>
      </c>
      <c r="R69" s="6">
        <f t="shared" si="51"/>
        <v>348380.19907071092</v>
      </c>
      <c r="S69" s="6">
        <f t="shared" si="51"/>
        <v>200067.9329528661</v>
      </c>
      <c r="T69" s="6">
        <f t="shared" si="51"/>
        <v>-188204.1585498146</v>
      </c>
      <c r="U69" s="6">
        <f t="shared" si="51"/>
        <v>-159192.41092505227</v>
      </c>
      <c r="V69" s="6">
        <f t="shared" si="51"/>
        <v>-124674.24436926737</v>
      </c>
      <c r="W69" s="6">
        <f t="shared" si="51"/>
        <v>202778.85285388783</v>
      </c>
      <c r="X69" s="6">
        <f t="shared" si="51"/>
        <v>-88343.320509903831</v>
      </c>
      <c r="Y69" s="6">
        <f t="shared" si="51"/>
        <v>-32580.039962579467</v>
      </c>
      <c r="Z69" s="6">
        <f t="shared" si="51"/>
        <v>-572459.87184037757</v>
      </c>
      <c r="AA69" s="6">
        <f t="shared" si="51"/>
        <v>252892.3780734507</v>
      </c>
      <c r="AB69" s="6">
        <f t="shared" si="51"/>
        <v>-82012.188057037565</v>
      </c>
      <c r="AC69" s="6">
        <f t="shared" si="51"/>
        <v>-94627.978416035185</v>
      </c>
      <c r="AE69" s="6">
        <f>+AE38+AE46+AE53+AE67</f>
        <v>-355453.44536169677</v>
      </c>
      <c r="AF69" s="6">
        <f t="shared" ref="AF69:AQ69" si="52">+AF38+AF46+AF53+AF67</f>
        <v>380554.21894336119</v>
      </c>
      <c r="AG69" s="6">
        <f t="shared" si="52"/>
        <v>869565.60501022416</v>
      </c>
      <c r="AH69" s="6">
        <f t="shared" si="52"/>
        <v>701079.6652468706</v>
      </c>
      <c r="AI69" s="6">
        <f t="shared" si="52"/>
        <v>208872.47486095197</v>
      </c>
      <c r="AJ69" s="6">
        <f t="shared" si="52"/>
        <v>-57479.148639001389</v>
      </c>
      <c r="AK69" s="6">
        <f t="shared" si="52"/>
        <v>-230668.64713903429</v>
      </c>
      <c r="AL69" s="6">
        <f t="shared" si="52"/>
        <v>-291927.5719257266</v>
      </c>
      <c r="AM69" s="6">
        <f t="shared" si="52"/>
        <v>-245257.60577621829</v>
      </c>
      <c r="AN69" s="6">
        <f t="shared" si="52"/>
        <v>28026.087230818346</v>
      </c>
      <c r="AO69" s="6">
        <f t="shared" si="52"/>
        <v>73727.676783754519</v>
      </c>
      <c r="AP69" s="6">
        <f t="shared" si="52"/>
        <v>-445471.52771612478</v>
      </c>
      <c r="AQ69" s="6">
        <f t="shared" si="52"/>
        <v>635567.78151817736</v>
      </c>
    </row>
    <row r="70" spans="1:43" x14ac:dyDescent="0.15">
      <c r="A70" s="17"/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</row>
    <row r="71" spans="1:43" x14ac:dyDescent="0.1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ht="14" thickBot="1" x14ac:dyDescent="0.2">
      <c r="A72" s="17" t="s">
        <v>48</v>
      </c>
      <c r="B72" s="10"/>
      <c r="C72" s="18">
        <f t="shared" ref="C72:O72" si="53">+C9+C69</f>
        <v>1143470.5249999999</v>
      </c>
      <c r="D72" s="18">
        <f t="shared" si="53"/>
        <v>1340164.5615462058</v>
      </c>
      <c r="E72" s="18">
        <f t="shared" si="53"/>
        <v>1381504.0121351893</v>
      </c>
      <c r="F72" s="18">
        <f t="shared" si="53"/>
        <v>1024988.879509558</v>
      </c>
      <c r="G72" s="18">
        <f t="shared" si="53"/>
        <v>1234820.0419533211</v>
      </c>
      <c r="H72" s="18">
        <f t="shared" si="53"/>
        <v>1445426.0000354236</v>
      </c>
      <c r="I72" s="18">
        <f t="shared" si="53"/>
        <v>1515778.7802452419</v>
      </c>
      <c r="J72" s="18">
        <f t="shared" si="53"/>
        <v>2053094.8316713092</v>
      </c>
      <c r="K72" s="18">
        <f t="shared" si="53"/>
        <v>1763674.1533960719</v>
      </c>
      <c r="L72" s="18">
        <f t="shared" si="53"/>
        <v>1470733.9138978163</v>
      </c>
      <c r="M72" s="18">
        <f t="shared" si="53"/>
        <v>1439566.2431089126</v>
      </c>
      <c r="N72" s="18">
        <f t="shared" si="53"/>
        <v>826312.63223657687</v>
      </c>
      <c r="O72" s="18">
        <f t="shared" si="53"/>
        <v>826312.63223658199</v>
      </c>
      <c r="Q72" s="18">
        <f t="shared" ref="Q72:AC72" si="54">+Q9+Q69</f>
        <v>975031.52508366399</v>
      </c>
      <c r="R72" s="18">
        <f t="shared" si="54"/>
        <v>1323411.724154375</v>
      </c>
      <c r="S72" s="18">
        <f t="shared" si="54"/>
        <v>1523479.6571072412</v>
      </c>
      <c r="T72" s="18">
        <f t="shared" si="54"/>
        <v>1335275.4985574265</v>
      </c>
      <c r="U72" s="18">
        <f t="shared" si="54"/>
        <v>1176083.0876323741</v>
      </c>
      <c r="V72" s="18">
        <f t="shared" si="54"/>
        <v>1051408.8432631069</v>
      </c>
      <c r="W72" s="18">
        <f t="shared" si="54"/>
        <v>1254187.6961169946</v>
      </c>
      <c r="X72" s="18">
        <f t="shared" si="54"/>
        <v>1165844.3756070908</v>
      </c>
      <c r="Y72" s="18">
        <f t="shared" si="54"/>
        <v>1133264.3356445113</v>
      </c>
      <c r="Z72" s="18">
        <f t="shared" si="54"/>
        <v>560804.4638041337</v>
      </c>
      <c r="AA72" s="18">
        <f t="shared" si="54"/>
        <v>813696.84187758435</v>
      </c>
      <c r="AB72" s="18">
        <f t="shared" si="54"/>
        <v>731684.65382054681</v>
      </c>
      <c r="AC72" s="18">
        <f t="shared" si="54"/>
        <v>731684.65382054681</v>
      </c>
      <c r="AE72" s="18">
        <f t="shared" ref="AE72:AQ72" si="55">+AE9+AE69</f>
        <v>376231.20845885004</v>
      </c>
      <c r="AF72" s="18">
        <f t="shared" si="55"/>
        <v>756785.42740221124</v>
      </c>
      <c r="AG72" s="18">
        <f t="shared" si="55"/>
        <v>1626351.0324124354</v>
      </c>
      <c r="AH72" s="18">
        <f t="shared" si="55"/>
        <v>2327430.6976593062</v>
      </c>
      <c r="AI72" s="18">
        <f t="shared" si="55"/>
        <v>2536303.172520258</v>
      </c>
      <c r="AJ72" s="18">
        <f t="shared" si="55"/>
        <v>2478824.0238812566</v>
      </c>
      <c r="AK72" s="18">
        <f t="shared" si="55"/>
        <v>2248155.3767422223</v>
      </c>
      <c r="AL72" s="18">
        <f t="shared" si="55"/>
        <v>1956227.8048164956</v>
      </c>
      <c r="AM72" s="18">
        <f t="shared" si="55"/>
        <v>1710970.1990402774</v>
      </c>
      <c r="AN72" s="18">
        <f t="shared" si="55"/>
        <v>1738996.2862710957</v>
      </c>
      <c r="AO72" s="18">
        <f t="shared" si="55"/>
        <v>1812723.9630548502</v>
      </c>
      <c r="AP72" s="18">
        <f t="shared" si="55"/>
        <v>1367252.4353387253</v>
      </c>
      <c r="AQ72" s="18">
        <f t="shared" si="55"/>
        <v>1367252.4353387242</v>
      </c>
    </row>
    <row r="73" spans="1:43" ht="14" thickTop="1" x14ac:dyDescent="0.15">
      <c r="A73" s="10"/>
      <c r="B73" s="10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15">
      <c r="A74" s="17" t="s">
        <v>49</v>
      </c>
      <c r="B74" s="10"/>
      <c r="C74" s="19">
        <v>750000</v>
      </c>
      <c r="D74" s="19">
        <f t="shared" ref="D74:O74" si="56">+C74</f>
        <v>750000</v>
      </c>
      <c r="E74" s="19">
        <f t="shared" si="56"/>
        <v>750000</v>
      </c>
      <c r="F74" s="19">
        <f t="shared" si="56"/>
        <v>750000</v>
      </c>
      <c r="G74" s="19">
        <f t="shared" si="56"/>
        <v>750000</v>
      </c>
      <c r="H74" s="19">
        <f t="shared" si="56"/>
        <v>750000</v>
      </c>
      <c r="I74" s="19">
        <f t="shared" si="56"/>
        <v>750000</v>
      </c>
      <c r="J74" s="19">
        <f t="shared" si="56"/>
        <v>750000</v>
      </c>
      <c r="K74" s="19">
        <f t="shared" si="56"/>
        <v>750000</v>
      </c>
      <c r="L74" s="19">
        <f t="shared" si="56"/>
        <v>750000</v>
      </c>
      <c r="M74" s="19">
        <f t="shared" si="56"/>
        <v>750000</v>
      </c>
      <c r="N74" s="19">
        <f t="shared" si="56"/>
        <v>750000</v>
      </c>
      <c r="O74" s="19">
        <f t="shared" si="56"/>
        <v>750000</v>
      </c>
      <c r="Q74" s="19">
        <f>+O74</f>
        <v>750000</v>
      </c>
      <c r="R74" s="19">
        <f t="shared" ref="R74:AC74" si="57">+Q74</f>
        <v>750000</v>
      </c>
      <c r="S74" s="19">
        <f t="shared" si="57"/>
        <v>750000</v>
      </c>
      <c r="T74" s="19">
        <f t="shared" si="57"/>
        <v>750000</v>
      </c>
      <c r="U74" s="19">
        <f t="shared" si="57"/>
        <v>750000</v>
      </c>
      <c r="V74" s="19">
        <f t="shared" si="57"/>
        <v>750000</v>
      </c>
      <c r="W74" s="19">
        <f t="shared" si="57"/>
        <v>750000</v>
      </c>
      <c r="X74" s="19">
        <f t="shared" si="57"/>
        <v>750000</v>
      </c>
      <c r="Y74" s="19">
        <f t="shared" si="57"/>
        <v>750000</v>
      </c>
      <c r="Z74" s="19">
        <f t="shared" si="57"/>
        <v>750000</v>
      </c>
      <c r="AA74" s="19">
        <f t="shared" si="57"/>
        <v>750000</v>
      </c>
      <c r="AB74" s="19">
        <f t="shared" si="57"/>
        <v>750000</v>
      </c>
      <c r="AC74" s="19">
        <f t="shared" si="57"/>
        <v>750000</v>
      </c>
      <c r="AE74" s="19">
        <f>+AC74</f>
        <v>750000</v>
      </c>
      <c r="AF74" s="19">
        <f t="shared" ref="AF74:AQ74" si="58">+AE74</f>
        <v>750000</v>
      </c>
      <c r="AG74" s="19">
        <f t="shared" si="58"/>
        <v>750000</v>
      </c>
      <c r="AH74" s="19">
        <f t="shared" si="58"/>
        <v>750000</v>
      </c>
      <c r="AI74" s="19">
        <f t="shared" si="58"/>
        <v>750000</v>
      </c>
      <c r="AJ74" s="19">
        <f t="shared" si="58"/>
        <v>750000</v>
      </c>
      <c r="AK74" s="19">
        <f t="shared" si="58"/>
        <v>750000</v>
      </c>
      <c r="AL74" s="19">
        <f t="shared" si="58"/>
        <v>750000</v>
      </c>
      <c r="AM74" s="19">
        <f t="shared" si="58"/>
        <v>750000</v>
      </c>
      <c r="AN74" s="19">
        <f t="shared" si="58"/>
        <v>750000</v>
      </c>
      <c r="AO74" s="19">
        <f t="shared" si="58"/>
        <v>750000</v>
      </c>
      <c r="AP74" s="19">
        <f t="shared" si="58"/>
        <v>750000</v>
      </c>
      <c r="AQ74" s="19">
        <f t="shared" si="58"/>
        <v>750000</v>
      </c>
    </row>
    <row r="75" spans="1:43" x14ac:dyDescent="0.15">
      <c r="A75" s="10" t="s">
        <v>50</v>
      </c>
      <c r="B75" s="10"/>
      <c r="C75" s="20">
        <f t="shared" ref="C75:O75" si="59">+C72-C74</f>
        <v>393470.52499999991</v>
      </c>
      <c r="D75" s="20">
        <f t="shared" si="59"/>
        <v>590164.56154620578</v>
      </c>
      <c r="E75" s="20">
        <f t="shared" si="59"/>
        <v>631504.01213518926</v>
      </c>
      <c r="F75" s="20">
        <f t="shared" si="59"/>
        <v>274988.87950955797</v>
      </c>
      <c r="G75" s="20">
        <f t="shared" si="59"/>
        <v>484820.04195332108</v>
      </c>
      <c r="H75" s="20">
        <f t="shared" si="59"/>
        <v>695426.00003542355</v>
      </c>
      <c r="I75" s="20">
        <f t="shared" si="59"/>
        <v>765778.78024524194</v>
      </c>
      <c r="J75" s="20">
        <f t="shared" si="59"/>
        <v>1303094.8316713092</v>
      </c>
      <c r="K75" s="20">
        <f t="shared" si="59"/>
        <v>1013674.1533960719</v>
      </c>
      <c r="L75" s="20">
        <f t="shared" si="59"/>
        <v>720733.91389781632</v>
      </c>
      <c r="M75" s="20">
        <f t="shared" si="59"/>
        <v>689566.2431089126</v>
      </c>
      <c r="N75" s="20">
        <f t="shared" si="59"/>
        <v>76312.632236576872</v>
      </c>
      <c r="O75" s="20">
        <f t="shared" si="59"/>
        <v>76312.632236581994</v>
      </c>
      <c r="Q75" s="20">
        <f t="shared" ref="Q75:AC75" si="60">+Q72-Q74</f>
        <v>225031.52508366399</v>
      </c>
      <c r="R75" s="20">
        <f t="shared" si="60"/>
        <v>573411.72415437503</v>
      </c>
      <c r="S75" s="20">
        <f t="shared" si="60"/>
        <v>773479.65710724122</v>
      </c>
      <c r="T75" s="20">
        <f t="shared" si="60"/>
        <v>585275.4985574265</v>
      </c>
      <c r="U75" s="20">
        <f t="shared" si="60"/>
        <v>426083.08763237414</v>
      </c>
      <c r="V75" s="20">
        <f t="shared" si="60"/>
        <v>301408.84326310689</v>
      </c>
      <c r="W75" s="20">
        <f t="shared" si="60"/>
        <v>504187.6961169946</v>
      </c>
      <c r="X75" s="20">
        <f t="shared" si="60"/>
        <v>415844.37560709077</v>
      </c>
      <c r="Y75" s="20">
        <f t="shared" si="60"/>
        <v>383264.33564451127</v>
      </c>
      <c r="Z75" s="20">
        <f t="shared" si="60"/>
        <v>-189195.5361958663</v>
      </c>
      <c r="AA75" s="20">
        <f t="shared" si="60"/>
        <v>63696.841877584346</v>
      </c>
      <c r="AB75" s="20">
        <f t="shared" si="60"/>
        <v>-18315.34617945319</v>
      </c>
      <c r="AC75" s="20">
        <f t="shared" si="60"/>
        <v>-18315.34617945319</v>
      </c>
      <c r="AE75" s="20">
        <f t="shared" ref="AE75:AQ75" si="61">+AE72-AE74</f>
        <v>-373768.79154114996</v>
      </c>
      <c r="AF75" s="20">
        <f t="shared" si="61"/>
        <v>6785.4274022112368</v>
      </c>
      <c r="AG75" s="20">
        <f t="shared" si="61"/>
        <v>876351.03241243539</v>
      </c>
      <c r="AH75" s="20">
        <f t="shared" si="61"/>
        <v>1577430.6976593062</v>
      </c>
      <c r="AI75" s="20">
        <f t="shared" si="61"/>
        <v>1786303.172520258</v>
      </c>
      <c r="AJ75" s="20">
        <f t="shared" si="61"/>
        <v>1728824.0238812566</v>
      </c>
      <c r="AK75" s="20">
        <f t="shared" si="61"/>
        <v>1498155.3767422223</v>
      </c>
      <c r="AL75" s="20">
        <f t="shared" si="61"/>
        <v>1206227.8048164956</v>
      </c>
      <c r="AM75" s="20">
        <f t="shared" si="61"/>
        <v>960970.1990402774</v>
      </c>
      <c r="AN75" s="20">
        <f t="shared" si="61"/>
        <v>988996.28627109574</v>
      </c>
      <c r="AO75" s="20">
        <f t="shared" si="61"/>
        <v>1062723.9630548502</v>
      </c>
      <c r="AP75" s="20">
        <f t="shared" si="61"/>
        <v>617252.43533872534</v>
      </c>
      <c r="AQ75" s="20">
        <f t="shared" si="61"/>
        <v>617252.43533872417</v>
      </c>
    </row>
  </sheetData>
  <phoneticPr fontId="0" type="noConversion"/>
  <pageMargins left="0.75" right="0.75" top="1" bottom="1" header="0.5" footer="0.5"/>
  <pageSetup scale="78" orientation="landscape" horizontalDpi="300"/>
  <headerFooter alignWithMargins="0"/>
  <rowBreaks count="2" manualBreakCount="2">
    <brk id="39" max="16383" man="1"/>
    <brk id="7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R46"/>
  <sheetViews>
    <sheetView workbookViewId="0">
      <pane xSplit="2" ySplit="7" topLeftCell="P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baseColWidth="10" defaultColWidth="8.83203125" defaultRowHeight="13" outlineLevelCol="1" x14ac:dyDescent="0.15"/>
  <cols>
    <col min="1" max="1" width="26" customWidth="1"/>
    <col min="2" max="2" width="8.5" customWidth="1"/>
    <col min="3" max="4" width="12.33203125" hidden="1" customWidth="1" outlineLevel="1"/>
    <col min="5" max="7" width="11.1640625" hidden="1" customWidth="1" outlineLevel="1"/>
    <col min="8" max="8" width="11.5" hidden="1" customWidth="1" outlineLevel="1"/>
    <col min="9" max="14" width="11.1640625" hidden="1" customWidth="1" outlineLevel="1"/>
    <col min="15" max="15" width="12.83203125" customWidth="1" collapsed="1"/>
    <col min="16" max="16" width="2.83203125" customWidth="1"/>
    <col min="17" max="21" width="11.1640625" hidden="1" customWidth="1" outlineLevel="1"/>
    <col min="22" max="22" width="11.6640625" hidden="1" customWidth="1" outlineLevel="1"/>
    <col min="23" max="23" width="12.1640625" customWidth="1" outlineLevel="1"/>
    <col min="24" max="24" width="11.1640625" hidden="1" customWidth="1" outlineLevel="1"/>
    <col min="25" max="25" width="11.5" hidden="1" customWidth="1" outlineLevel="1"/>
    <col min="26" max="27" width="11.33203125" hidden="1" customWidth="1" outlineLevel="1"/>
    <col min="28" max="28" width="12" hidden="1" customWidth="1" outlineLevel="1"/>
    <col min="29" max="29" width="12.33203125" hidden="1" customWidth="1" outlineLevel="1"/>
    <col min="30" max="30" width="12.1640625" hidden="1" customWidth="1"/>
    <col min="31" max="31" width="3" hidden="1" customWidth="1"/>
    <col min="32" max="36" width="11.1640625" hidden="1" customWidth="1" outlineLevel="1"/>
    <col min="37" max="37" width="12.1640625" hidden="1" customWidth="1" outlineLevel="1"/>
    <col min="38" max="43" width="11.1640625" hidden="1" customWidth="1" outlineLevel="1"/>
    <col min="44" max="44" width="13" hidden="1" customWidth="1"/>
  </cols>
  <sheetData>
    <row r="1" spans="1:44" x14ac:dyDescent="0.15">
      <c r="A1" s="1" t="s">
        <v>172</v>
      </c>
    </row>
    <row r="2" spans="1:44" ht="20" x14ac:dyDescent="0.2">
      <c r="A2" s="2" t="s">
        <v>79</v>
      </c>
      <c r="H2" s="38" t="s">
        <v>82</v>
      </c>
      <c r="V2" s="38" t="s">
        <v>84</v>
      </c>
      <c r="W2" s="38"/>
      <c r="AK2" s="38" t="s">
        <v>90</v>
      </c>
    </row>
    <row r="3" spans="1:44" x14ac:dyDescent="0.15">
      <c r="A3" s="1"/>
    </row>
    <row r="4" spans="1:44" ht="14" x14ac:dyDescent="0.2">
      <c r="A4" s="1"/>
      <c r="C4" s="27" t="s">
        <v>51</v>
      </c>
      <c r="D4" s="27" t="s">
        <v>51</v>
      </c>
      <c r="E4" s="27" t="s">
        <v>51</v>
      </c>
      <c r="F4" s="27" t="s">
        <v>51</v>
      </c>
      <c r="G4" s="27" t="s">
        <v>51</v>
      </c>
      <c r="H4" s="27" t="s">
        <v>51</v>
      </c>
      <c r="I4" s="27" t="s">
        <v>51</v>
      </c>
      <c r="J4" s="27" t="s">
        <v>51</v>
      </c>
      <c r="K4" s="27" t="s">
        <v>51</v>
      </c>
      <c r="L4" s="27" t="s">
        <v>51</v>
      </c>
      <c r="M4" s="27" t="s">
        <v>51</v>
      </c>
      <c r="N4" s="27" t="s">
        <v>51</v>
      </c>
      <c r="Q4" s="54"/>
    </row>
    <row r="5" spans="1:44" ht="14" x14ac:dyDescent="0.2">
      <c r="C5" s="27"/>
      <c r="D5" s="27"/>
      <c r="E5" s="27"/>
      <c r="F5" s="27"/>
      <c r="G5" s="27"/>
      <c r="H5" s="27"/>
      <c r="I5" s="27"/>
      <c r="O5" s="47" t="s">
        <v>54</v>
      </c>
      <c r="W5" s="47" t="s">
        <v>54</v>
      </c>
    </row>
    <row r="6" spans="1:44" x14ac:dyDescent="0.15">
      <c r="A6" s="3"/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/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  <c r="W6" s="89" t="s">
        <v>213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 t="s">
        <v>99</v>
      </c>
      <c r="AD6" s="47" t="s">
        <v>99</v>
      </c>
      <c r="AE6" s="36"/>
      <c r="AF6" s="47" t="s">
        <v>99</v>
      </c>
      <c r="AG6" s="47" t="s">
        <v>99</v>
      </c>
      <c r="AH6" s="47" t="s">
        <v>99</v>
      </c>
      <c r="AI6" s="47" t="s">
        <v>99</v>
      </c>
      <c r="AJ6" s="47" t="s">
        <v>99</v>
      </c>
      <c r="AK6" s="47" t="s">
        <v>99</v>
      </c>
      <c r="AL6" s="47" t="s">
        <v>99</v>
      </c>
      <c r="AM6" s="47" t="s">
        <v>99</v>
      </c>
      <c r="AN6" s="47" t="s">
        <v>99</v>
      </c>
      <c r="AO6" s="47" t="s">
        <v>99</v>
      </c>
      <c r="AP6" s="47" t="s">
        <v>99</v>
      </c>
      <c r="AQ6" s="47" t="s">
        <v>99</v>
      </c>
      <c r="AR6" s="47" t="s">
        <v>99</v>
      </c>
    </row>
    <row r="7" spans="1:44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84</v>
      </c>
      <c r="X7" s="4" t="s">
        <v>7</v>
      </c>
      <c r="Y7" s="4" t="s">
        <v>8</v>
      </c>
      <c r="Z7" s="4" t="s">
        <v>9</v>
      </c>
      <c r="AA7" s="4" t="s">
        <v>10</v>
      </c>
      <c r="AB7" s="4" t="s">
        <v>11</v>
      </c>
      <c r="AC7" s="4" t="s">
        <v>12</v>
      </c>
      <c r="AD7" s="4" t="s">
        <v>84</v>
      </c>
      <c r="AF7" s="4" t="s">
        <v>1</v>
      </c>
      <c r="AG7" s="4" t="s">
        <v>2</v>
      </c>
      <c r="AH7" s="4" t="s">
        <v>3</v>
      </c>
      <c r="AI7" s="4" t="s">
        <v>4</v>
      </c>
      <c r="AJ7" s="4" t="s">
        <v>5</v>
      </c>
      <c r="AK7" s="4" t="s">
        <v>6</v>
      </c>
      <c r="AL7" s="4" t="s">
        <v>7</v>
      </c>
      <c r="AM7" s="4" t="s">
        <v>8</v>
      </c>
      <c r="AN7" s="4" t="s">
        <v>9</v>
      </c>
      <c r="AO7" s="4" t="s">
        <v>10</v>
      </c>
      <c r="AP7" s="4" t="s">
        <v>11</v>
      </c>
      <c r="AQ7" s="4" t="s">
        <v>12</v>
      </c>
      <c r="AR7" s="4" t="s">
        <v>90</v>
      </c>
    </row>
    <row r="8" spans="1:44" x14ac:dyDescent="0.15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</row>
    <row r="9" spans="1:44" x14ac:dyDescent="0.15">
      <c r="A9" s="54" t="s">
        <v>112</v>
      </c>
      <c r="C9" s="45">
        <v>15</v>
      </c>
      <c r="D9" s="45">
        <v>16</v>
      </c>
      <c r="E9" s="45">
        <v>14</v>
      </c>
      <c r="F9" s="45">
        <v>15</v>
      </c>
      <c r="G9" s="45">
        <v>15</v>
      </c>
      <c r="H9" s="45">
        <v>17</v>
      </c>
      <c r="I9" s="45">
        <v>19</v>
      </c>
      <c r="J9" s="45">
        <v>19</v>
      </c>
      <c r="K9" s="45">
        <v>15</v>
      </c>
      <c r="L9" s="45">
        <v>14</v>
      </c>
      <c r="M9" s="45">
        <v>15</v>
      </c>
      <c r="N9" s="45">
        <v>15</v>
      </c>
      <c r="O9" s="8">
        <f>+N9</f>
        <v>15</v>
      </c>
      <c r="Q9" s="44">
        <v>15</v>
      </c>
      <c r="R9" s="44">
        <v>13</v>
      </c>
      <c r="S9" s="44">
        <v>16</v>
      </c>
      <c r="T9" s="44">
        <v>18</v>
      </c>
      <c r="U9" s="44">
        <v>17</v>
      </c>
      <c r="V9" s="44">
        <v>15</v>
      </c>
      <c r="W9" s="8">
        <f>+V9</f>
        <v>15</v>
      </c>
      <c r="X9" s="44">
        <f>+'Assumptions Summary'!W11</f>
        <v>17</v>
      </c>
      <c r="Y9" s="44">
        <f>+'Assumptions Summary'!X11</f>
        <v>18</v>
      </c>
      <c r="Z9" s="44">
        <f>+'Assumptions Summary'!Y11</f>
        <v>19</v>
      </c>
      <c r="AA9" s="44">
        <f>+'Assumptions Summary'!Z11</f>
        <v>20</v>
      </c>
      <c r="AB9" s="44">
        <f>+'Assumptions Summary'!AA11</f>
        <v>21</v>
      </c>
      <c r="AC9" s="44">
        <f>+'Assumptions Summary'!AB11</f>
        <v>22</v>
      </c>
      <c r="AD9" s="8">
        <f>+AC9</f>
        <v>22</v>
      </c>
      <c r="AF9" s="44">
        <f>+'Assumptions Summary'!AE11</f>
        <v>22</v>
      </c>
      <c r="AG9" s="44">
        <f>+'Assumptions Summary'!AF11</f>
        <v>20</v>
      </c>
      <c r="AH9" s="44">
        <f>+S9*1.05</f>
        <v>16.8</v>
      </c>
      <c r="AI9" s="44">
        <f>+T9*1.05</f>
        <v>18.900000000000002</v>
      </c>
      <c r="AJ9" s="44">
        <f>+U9*1.05</f>
        <v>17.850000000000001</v>
      </c>
      <c r="AK9" s="44">
        <f>+V9*1.05</f>
        <v>15.75</v>
      </c>
      <c r="AL9" s="44">
        <f t="shared" ref="AL9:AQ9" si="0">+X9*1.05</f>
        <v>17.850000000000001</v>
      </c>
      <c r="AM9" s="44">
        <f t="shared" si="0"/>
        <v>18.900000000000002</v>
      </c>
      <c r="AN9" s="44">
        <f t="shared" si="0"/>
        <v>19.95</v>
      </c>
      <c r="AO9" s="44">
        <f t="shared" si="0"/>
        <v>21</v>
      </c>
      <c r="AP9" s="44">
        <f t="shared" si="0"/>
        <v>22.05</v>
      </c>
      <c r="AQ9" s="44">
        <f t="shared" si="0"/>
        <v>23.1</v>
      </c>
      <c r="AR9" s="8">
        <f>+AQ9</f>
        <v>23.1</v>
      </c>
    </row>
    <row r="10" spans="1:44" x14ac:dyDescent="0.15">
      <c r="A10" s="54" t="s">
        <v>113</v>
      </c>
      <c r="C10" s="49">
        <f>+C13/C9</f>
        <v>129550.39999999999</v>
      </c>
      <c r="D10" s="49">
        <f t="shared" ref="D10:V10" si="1">+D13/D9</f>
        <v>133598.85</v>
      </c>
      <c r="E10" s="49">
        <f t="shared" si="1"/>
        <v>155738.08800000002</v>
      </c>
      <c r="F10" s="49">
        <f t="shared" si="1"/>
        <v>115180.660384</v>
      </c>
      <c r="G10" s="49">
        <f t="shared" si="1"/>
        <v>132477.04717632002</v>
      </c>
      <c r="H10" s="49">
        <f t="shared" si="1"/>
        <v>128580.66343584005</v>
      </c>
      <c r="I10" s="49">
        <f t="shared" si="1"/>
        <v>109293.56392046403</v>
      </c>
      <c r="J10" s="49">
        <f t="shared" si="1"/>
        <v>130550.89473684211</v>
      </c>
      <c r="K10" s="49">
        <f t="shared" si="1"/>
        <v>143283.86229972832</v>
      </c>
      <c r="L10" s="49">
        <f t="shared" si="1"/>
        <v>135096.21302545813</v>
      </c>
      <c r="M10" s="49">
        <f t="shared" si="1"/>
        <v>119785.30888257288</v>
      </c>
      <c r="N10" s="49">
        <f t="shared" si="1"/>
        <v>99107.907660034674</v>
      </c>
      <c r="O10" s="49">
        <f t="shared" si="1"/>
        <v>1602863.7068862901</v>
      </c>
      <c r="Q10" s="49">
        <f t="shared" si="1"/>
        <v>142591.66972823208</v>
      </c>
      <c r="R10" s="49">
        <f t="shared" si="1"/>
        <v>196529.30846153849</v>
      </c>
      <c r="S10" s="49">
        <f t="shared" si="1"/>
        <v>138358.47953317518</v>
      </c>
      <c r="T10" s="49">
        <f t="shared" si="1"/>
        <v>108227.07732372814</v>
      </c>
      <c r="U10" s="49">
        <f t="shared" si="1"/>
        <v>108863.70719033829</v>
      </c>
      <c r="V10" s="49">
        <f t="shared" si="1"/>
        <v>102081.14488983572</v>
      </c>
      <c r="W10" s="49">
        <f t="shared" ref="W10" si="2">+W13/W9</f>
        <v>815831.95439097856</v>
      </c>
      <c r="X10" s="49">
        <f>+'Assumptions Summary'!W14</f>
        <v>112572.37083807796</v>
      </c>
      <c r="Y10" s="49">
        <f>+'Assumptions Summary'!X14</f>
        <v>134467.42157894737</v>
      </c>
      <c r="Z10" s="49">
        <f>+'Assumptions Summary'!Y14</f>
        <v>147582.37816872017</v>
      </c>
      <c r="AA10" s="49">
        <f>+'Assumptions Summary'!Z14</f>
        <v>139149.09941622187</v>
      </c>
      <c r="AB10" s="49">
        <f>+'Assumptions Summary'!AA14</f>
        <v>123378.86814905006</v>
      </c>
      <c r="AC10" s="49">
        <f>+'Assumptions Summary'!AB14</f>
        <v>102081.14488983572</v>
      </c>
      <c r="AD10" s="49">
        <f>+AD13/AD9</f>
        <v>1783313.2325742862</v>
      </c>
      <c r="AF10" s="49">
        <f>+'Assumptions Summary'!AE14</f>
        <v>146869.41982007906</v>
      </c>
      <c r="AG10" s="49">
        <f>+'Assumptions Summary'!AF14</f>
        <v>202425.18771538464</v>
      </c>
      <c r="AH10" s="49">
        <f>+S10*1.03</f>
        <v>142509.23391917045</v>
      </c>
      <c r="AI10" s="49">
        <f>+T10*1.03</f>
        <v>111473.88964343998</v>
      </c>
      <c r="AJ10" s="49">
        <f>+U10*1.03</f>
        <v>112129.61840604844</v>
      </c>
      <c r="AK10" s="49">
        <f>+V10*1.03</f>
        <v>105143.5792365308</v>
      </c>
      <c r="AL10" s="49">
        <f t="shared" ref="AL10:AQ10" si="3">+X10*1.03</f>
        <v>115949.5419632203</v>
      </c>
      <c r="AM10" s="49">
        <f t="shared" si="3"/>
        <v>138501.4442263158</v>
      </c>
      <c r="AN10" s="49">
        <f t="shared" si="3"/>
        <v>152009.84951378178</v>
      </c>
      <c r="AO10" s="49">
        <f t="shared" si="3"/>
        <v>143323.57239870852</v>
      </c>
      <c r="AP10" s="49">
        <f t="shared" si="3"/>
        <v>127080.23419352157</v>
      </c>
      <c r="AQ10" s="49">
        <f t="shared" si="3"/>
        <v>105143.5792365308</v>
      </c>
      <c r="AR10" s="49">
        <f>+AR13/AR9</f>
        <v>1407975.7249213289</v>
      </c>
    </row>
    <row r="11" spans="1:44" x14ac:dyDescent="0.15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</row>
    <row r="12" spans="1:44" x14ac:dyDescent="0.15">
      <c r="A12" s="9"/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x14ac:dyDescent="0.15">
      <c r="A13" s="53" t="s">
        <v>15</v>
      </c>
      <c r="C13" s="37">
        <v>1943256</v>
      </c>
      <c r="D13" s="37">
        <v>2137581.6</v>
      </c>
      <c r="E13" s="37">
        <v>2180333.2320000003</v>
      </c>
      <c r="F13" s="37">
        <v>1727709.90576</v>
      </c>
      <c r="G13" s="37">
        <v>1987155.7076448004</v>
      </c>
      <c r="H13" s="37">
        <v>2185871.2784092808</v>
      </c>
      <c r="I13" s="37">
        <v>2076577.7144888167</v>
      </c>
      <c r="J13" s="37">
        <v>2480467</v>
      </c>
      <c r="K13" s="37">
        <v>2149257.934495925</v>
      </c>
      <c r="L13" s="37">
        <v>1891346.982356414</v>
      </c>
      <c r="M13" s="37">
        <v>1796779.6332385931</v>
      </c>
      <c r="N13" s="37">
        <v>1486618.6149005201</v>
      </c>
      <c r="O13" s="37">
        <f>SUM(C13:N13)</f>
        <v>24042955.60329435</v>
      </c>
      <c r="Q13" s="37">
        <f>+I13*1.03</f>
        <v>2138875.0459234812</v>
      </c>
      <c r="R13" s="37">
        <f t="shared" ref="R13:V13" si="4">+J13*1.03</f>
        <v>2554881.0100000002</v>
      </c>
      <c r="S13" s="37">
        <f t="shared" si="4"/>
        <v>2213735.6725308029</v>
      </c>
      <c r="T13" s="37">
        <f t="shared" si="4"/>
        <v>1948087.3918271065</v>
      </c>
      <c r="U13" s="37">
        <f t="shared" si="4"/>
        <v>1850683.0222357509</v>
      </c>
      <c r="V13" s="37">
        <f t="shared" si="4"/>
        <v>1531217.1733475358</v>
      </c>
      <c r="W13" s="37">
        <f>SUM(Q13:V13)</f>
        <v>12237479.315864678</v>
      </c>
      <c r="X13" s="37">
        <f>+'Assumptions Summary'!W15</f>
        <v>1913730.3042473253</v>
      </c>
      <c r="Y13" s="37">
        <f>+'Assumptions Summary'!X15</f>
        <v>2420413.5884210528</v>
      </c>
      <c r="Z13" s="37">
        <f>+'Assumptions Summary'!Y15</f>
        <v>2804065.1852056831</v>
      </c>
      <c r="AA13" s="37">
        <f>+'Assumptions Summary'!Z15</f>
        <v>2782981.9883244373</v>
      </c>
      <c r="AB13" s="37">
        <f>+'Assumptions Summary'!AA15</f>
        <v>2590956.2311300514</v>
      </c>
      <c r="AC13" s="37">
        <f>+'Assumptions Summary'!AB15</f>
        <v>2245785.1875763857</v>
      </c>
      <c r="AD13" s="37">
        <f>SUM(Q13:AC13)</f>
        <v>39232891.116634294</v>
      </c>
      <c r="AF13" s="37">
        <f>+'Assumptions Summary'!AE15</f>
        <v>3231127.2360417391</v>
      </c>
      <c r="AG13" s="37">
        <f>+'Assumptions Summary'!AF15</f>
        <v>4048503.7543076929</v>
      </c>
      <c r="AH13" s="37">
        <f>+'Assumptions Summary'!AG15</f>
        <v>2565166.2105450681</v>
      </c>
      <c r="AI13" s="37">
        <f>+'Assumptions Summary'!AH15</f>
        <v>2006530.0135819197</v>
      </c>
      <c r="AJ13" s="37">
        <f>+'Assumptions Summary'!AI15</f>
        <v>2130462.7497149203</v>
      </c>
      <c r="AK13" s="37">
        <f>+'Assumptions Summary'!AJ15</f>
        <v>2208015.163967147</v>
      </c>
      <c r="AL13" s="37">
        <f>+'Assumptions Summary'!AK15</f>
        <v>2550889.9231908466</v>
      </c>
      <c r="AM13" s="37">
        <f>+'Assumptions Summary'!AL15</f>
        <v>3185533.2172052632</v>
      </c>
      <c r="AN13" s="37">
        <f>+'Assumptions Summary'!AM15</f>
        <v>3192206.8397894176</v>
      </c>
      <c r="AO13" s="37">
        <f>+'Assumptions Summary'!AN15</f>
        <v>2866471.4479741706</v>
      </c>
      <c r="AP13" s="37">
        <f>+'Assumptions Summary'!AO15</f>
        <v>2541604.6838704315</v>
      </c>
      <c r="AQ13" s="37">
        <f>+'Assumptions Summary'!AP15</f>
        <v>1997728.0054940851</v>
      </c>
      <c r="AR13" s="37">
        <f>SUM(AF13:AQ13)</f>
        <v>32524239.245682701</v>
      </c>
    </row>
    <row r="14" spans="1:44" x14ac:dyDescent="0.15">
      <c r="A14" s="1" t="s">
        <v>17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>SUM(C14:N14)</f>
        <v>0</v>
      </c>
      <c r="Q14" s="6"/>
      <c r="R14" s="6"/>
      <c r="S14" s="6"/>
      <c r="T14" s="6"/>
      <c r="U14" s="6"/>
      <c r="V14" s="6"/>
      <c r="W14" s="6">
        <v>0</v>
      </c>
      <c r="X14" s="6"/>
      <c r="Y14" s="6"/>
      <c r="Z14" s="6"/>
      <c r="AA14" s="6"/>
      <c r="AB14" s="6"/>
      <c r="AC14" s="6"/>
      <c r="AD14" s="6">
        <f>SUM(Q14:AC14)</f>
        <v>0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>
        <f>SUM(AF14:AQ14)</f>
        <v>0</v>
      </c>
    </row>
    <row r="15" spans="1:44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15">
      <c r="A16" s="1" t="s">
        <v>18</v>
      </c>
      <c r="C16" s="11">
        <f t="shared" ref="C16:O16" si="5">SUM(C13:C14)</f>
        <v>1943256</v>
      </c>
      <c r="D16" s="11">
        <f t="shared" si="5"/>
        <v>2137581.6</v>
      </c>
      <c r="E16" s="11">
        <f t="shared" si="5"/>
        <v>2180333.2320000003</v>
      </c>
      <c r="F16" s="11">
        <f t="shared" si="5"/>
        <v>1727709.90576</v>
      </c>
      <c r="G16" s="11">
        <f t="shared" si="5"/>
        <v>1987155.7076448004</v>
      </c>
      <c r="H16" s="11">
        <f t="shared" si="5"/>
        <v>2185871.2784092808</v>
      </c>
      <c r="I16" s="11">
        <f t="shared" si="5"/>
        <v>2076577.7144888167</v>
      </c>
      <c r="J16" s="11">
        <f t="shared" si="5"/>
        <v>2480467</v>
      </c>
      <c r="K16" s="11">
        <f t="shared" si="5"/>
        <v>2149257.934495925</v>
      </c>
      <c r="L16" s="11">
        <f t="shared" si="5"/>
        <v>1891346.982356414</v>
      </c>
      <c r="M16" s="11">
        <f t="shared" si="5"/>
        <v>1796779.6332385931</v>
      </c>
      <c r="N16" s="11">
        <f t="shared" si="5"/>
        <v>1486618.6149005201</v>
      </c>
      <c r="O16" s="11">
        <f t="shared" si="5"/>
        <v>24042955.60329435</v>
      </c>
      <c r="Q16" s="11">
        <f t="shared" ref="Q16:AD16" si="6">SUM(Q13:Q14)</f>
        <v>2138875.0459234812</v>
      </c>
      <c r="R16" s="11">
        <f t="shared" si="6"/>
        <v>2554881.0100000002</v>
      </c>
      <c r="S16" s="11">
        <f t="shared" si="6"/>
        <v>2213735.6725308029</v>
      </c>
      <c r="T16" s="11">
        <f t="shared" si="6"/>
        <v>1948087.3918271065</v>
      </c>
      <c r="U16" s="11">
        <f t="shared" si="6"/>
        <v>1850683.0222357509</v>
      </c>
      <c r="V16" s="11">
        <f t="shared" si="6"/>
        <v>1531217.1733475358</v>
      </c>
      <c r="W16" s="11">
        <f t="shared" si="6"/>
        <v>12237479.315864678</v>
      </c>
      <c r="X16" s="11">
        <f t="shared" si="6"/>
        <v>1913730.3042473253</v>
      </c>
      <c r="Y16" s="11">
        <f t="shared" si="6"/>
        <v>2420413.5884210528</v>
      </c>
      <c r="Z16" s="11">
        <f t="shared" si="6"/>
        <v>2804065.1852056831</v>
      </c>
      <c r="AA16" s="11">
        <f t="shared" si="6"/>
        <v>2782981.9883244373</v>
      </c>
      <c r="AB16" s="11">
        <f t="shared" si="6"/>
        <v>2590956.2311300514</v>
      </c>
      <c r="AC16" s="11">
        <f t="shared" si="6"/>
        <v>2245785.1875763857</v>
      </c>
      <c r="AD16" s="11">
        <f t="shared" si="6"/>
        <v>39232891.116634294</v>
      </c>
      <c r="AF16" s="11">
        <f t="shared" ref="AF16:AR16" si="7">SUM(AF13:AF14)</f>
        <v>3231127.2360417391</v>
      </c>
      <c r="AG16" s="11">
        <f t="shared" si="7"/>
        <v>4048503.7543076929</v>
      </c>
      <c r="AH16" s="11">
        <f t="shared" si="7"/>
        <v>2565166.2105450681</v>
      </c>
      <c r="AI16" s="11">
        <f t="shared" si="7"/>
        <v>2006530.0135819197</v>
      </c>
      <c r="AJ16" s="11">
        <f t="shared" si="7"/>
        <v>2130462.7497149203</v>
      </c>
      <c r="AK16" s="11">
        <f t="shared" si="7"/>
        <v>2208015.163967147</v>
      </c>
      <c r="AL16" s="11">
        <f t="shared" si="7"/>
        <v>2550889.9231908466</v>
      </c>
      <c r="AM16" s="11">
        <f t="shared" si="7"/>
        <v>3185533.2172052632</v>
      </c>
      <c r="AN16" s="11">
        <f t="shared" si="7"/>
        <v>3192206.8397894176</v>
      </c>
      <c r="AO16" s="11">
        <f t="shared" si="7"/>
        <v>2866471.4479741706</v>
      </c>
      <c r="AP16" s="11">
        <f t="shared" si="7"/>
        <v>2541604.6838704315</v>
      </c>
      <c r="AQ16" s="11">
        <f t="shared" si="7"/>
        <v>1997728.0054940851</v>
      </c>
      <c r="AR16" s="11">
        <f t="shared" si="7"/>
        <v>32524239.245682701</v>
      </c>
    </row>
    <row r="17" spans="1:44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15">
      <c r="A18" s="1" t="s">
        <v>19</v>
      </c>
      <c r="C18" s="12">
        <f>0.856*C13</f>
        <v>1663427.1359999999</v>
      </c>
      <c r="D18" s="12">
        <f>0.838*D13</f>
        <v>1791293.3807999999</v>
      </c>
      <c r="E18" s="12">
        <f>0.851*E13</f>
        <v>1855463.5804320001</v>
      </c>
      <c r="F18" s="12">
        <f>0.862*F13</f>
        <v>1489285.93876512</v>
      </c>
      <c r="G18" s="12">
        <f>0.847*G13</f>
        <v>1683120.8843751459</v>
      </c>
      <c r="H18" s="12">
        <f>0.842*H13</f>
        <v>1840503.6164206143</v>
      </c>
      <c r="I18" s="12">
        <f>0.834*I13</f>
        <v>1731865.8138836729</v>
      </c>
      <c r="J18" s="12">
        <f>0.855*J13</f>
        <v>2120799.2850000001</v>
      </c>
      <c r="K18" s="12">
        <f>0.846*K13</f>
        <v>1818272.2125835526</v>
      </c>
      <c r="L18" s="12">
        <f>0.871*L13</f>
        <v>1647363.2216324366</v>
      </c>
      <c r="M18" s="12">
        <f>0.846*M13</f>
        <v>1520075.5697198496</v>
      </c>
      <c r="N18" s="12">
        <f>0.841*N13</f>
        <v>1250246.2551313373</v>
      </c>
      <c r="O18" s="6">
        <f>SUM(C18:N18)</f>
        <v>20411716.894743733</v>
      </c>
      <c r="Q18" s="12">
        <f>0.859*Q13</f>
        <v>1837293.6644482703</v>
      </c>
      <c r="R18" s="12">
        <f>0.839*R13</f>
        <v>2143545.1673900001</v>
      </c>
      <c r="S18" s="12">
        <f>0.841*S13</f>
        <v>1861751.7005984052</v>
      </c>
      <c r="T18" s="12">
        <f>0.872*T13</f>
        <v>1698732.2056732369</v>
      </c>
      <c r="U18" s="12">
        <f>0.847*U13</f>
        <v>1567528.5198336809</v>
      </c>
      <c r="V18" s="12">
        <f>0.851*V13</f>
        <v>1303065.814518753</v>
      </c>
      <c r="W18" s="6">
        <f>SUM(Q18:V18)</f>
        <v>10411917.072462346</v>
      </c>
      <c r="X18" s="57">
        <f>X16-(+X16*'Assumptions Summary'!W17)</f>
        <v>1626670.7586102264</v>
      </c>
      <c r="Y18" s="57">
        <f>Y16-(+Y16*'Assumptions Summary'!X17)</f>
        <v>2057351.5501578948</v>
      </c>
      <c r="Z18" s="57">
        <f>Z16-(+Z16*'Assumptions Summary'!Y17)</f>
        <v>2383455.4074248308</v>
      </c>
      <c r="AA18" s="57">
        <f>AA16-(+AA16*'Assumptions Summary'!Z17)</f>
        <v>2393364.509959016</v>
      </c>
      <c r="AB18" s="57">
        <f>AB16-(+AB16*'Assumptions Summary'!AA17)</f>
        <v>2228222.3587718443</v>
      </c>
      <c r="AC18" s="57">
        <f>AC16-(+AC16*'Assumptions Summary'!AB17)</f>
        <v>1931375.2613156918</v>
      </c>
      <c r="AD18" s="6">
        <f>SUM(Q18:AC18)</f>
        <v>33444273.991164196</v>
      </c>
      <c r="AF18" s="57">
        <f>AF16-(+AF16*'Assumptions Summary'!AE17)</f>
        <v>2778769.4229958956</v>
      </c>
      <c r="AG18" s="57">
        <f>AG16-(+AG16*'Assumptions Summary'!AF17)</f>
        <v>3481713.228704616</v>
      </c>
      <c r="AH18" s="57">
        <f>AH16-(+AH16*'Assumptions Summary'!AG17)</f>
        <v>2180391.2789633079</v>
      </c>
      <c r="AI18" s="57">
        <f>AI16-(+AI16*'Assumptions Summary'!AH17)</f>
        <v>1705550.5115446318</v>
      </c>
      <c r="AJ18" s="57">
        <f>AJ16-(+AJ16*'Assumptions Summary'!AI17)</f>
        <v>1810893.3372576823</v>
      </c>
      <c r="AK18" s="57">
        <f>AK16-(+AK16*'Assumptions Summary'!AJ17)</f>
        <v>1876812.889372075</v>
      </c>
      <c r="AL18" s="57">
        <f>AL16-(+AL16*'Assumptions Summary'!AK17)</f>
        <v>2168256.4347122195</v>
      </c>
      <c r="AM18" s="57">
        <f>AM16-(+AM16*'Assumptions Summary'!AL17)</f>
        <v>2707703.2346244738</v>
      </c>
      <c r="AN18" s="57">
        <f>AN16-(+AN16*'Assumptions Summary'!AM17)</f>
        <v>2713375.8138210047</v>
      </c>
      <c r="AO18" s="57">
        <f>AO16-(+AO16*'Assumptions Summary'!AN17)</f>
        <v>2436500.730778045</v>
      </c>
      <c r="AP18" s="57">
        <f>AP16-(+AP16*'Assumptions Summary'!AO17)</f>
        <v>2160363.9812898668</v>
      </c>
      <c r="AQ18" s="57">
        <f>AQ16-(+AQ16*'Assumptions Summary'!AP17)</f>
        <v>1698068.8046699725</v>
      </c>
      <c r="AR18" s="6">
        <f>SUM(AF18:AQ18)</f>
        <v>27718399.668733791</v>
      </c>
    </row>
    <row r="19" spans="1:44" x14ac:dyDescent="0.1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</row>
    <row r="20" spans="1:44" x14ac:dyDescent="0.15">
      <c r="A20" t="s">
        <v>20</v>
      </c>
      <c r="C20" s="13">
        <f t="shared" ref="C20:O20" si="8">+C16-C18</f>
        <v>279828.86400000006</v>
      </c>
      <c r="D20" s="13">
        <f t="shared" si="8"/>
        <v>346288.21920000017</v>
      </c>
      <c r="E20" s="13">
        <f t="shared" si="8"/>
        <v>324869.6515680002</v>
      </c>
      <c r="F20" s="13">
        <f t="shared" si="8"/>
        <v>238423.96699488</v>
      </c>
      <c r="G20" s="13">
        <f t="shared" si="8"/>
        <v>304034.82326965453</v>
      </c>
      <c r="H20" s="13">
        <f t="shared" si="8"/>
        <v>345367.66198866651</v>
      </c>
      <c r="I20" s="13">
        <f t="shared" si="8"/>
        <v>344711.90060514375</v>
      </c>
      <c r="J20" s="13">
        <f t="shared" si="8"/>
        <v>359667.71499999985</v>
      </c>
      <c r="K20" s="13">
        <f t="shared" si="8"/>
        <v>330985.72191237239</v>
      </c>
      <c r="L20" s="13">
        <f t="shared" si="8"/>
        <v>243983.76072397735</v>
      </c>
      <c r="M20" s="13">
        <f t="shared" si="8"/>
        <v>276704.0635187435</v>
      </c>
      <c r="N20" s="13">
        <f t="shared" si="8"/>
        <v>236372.35976918275</v>
      </c>
      <c r="O20" s="13">
        <f t="shared" si="8"/>
        <v>3631238.7085506171</v>
      </c>
      <c r="Q20" s="13">
        <f>+Q16-Q18</f>
        <v>301581.38147521089</v>
      </c>
      <c r="R20" s="13">
        <f t="shared" ref="R20:AD20" si="9">+R16-R18</f>
        <v>411335.84261000017</v>
      </c>
      <c r="S20" s="13">
        <f t="shared" si="9"/>
        <v>351983.97193239769</v>
      </c>
      <c r="T20" s="13">
        <f t="shared" si="9"/>
        <v>249355.18615386961</v>
      </c>
      <c r="U20" s="13">
        <f t="shared" si="9"/>
        <v>283154.50240206998</v>
      </c>
      <c r="V20" s="13">
        <f t="shared" si="9"/>
        <v>228151.3588287828</v>
      </c>
      <c r="W20" s="13">
        <f t="shared" si="9"/>
        <v>1825562.2434023321</v>
      </c>
      <c r="X20" s="13">
        <f t="shared" si="9"/>
        <v>287059.54563709884</v>
      </c>
      <c r="Y20" s="13">
        <f t="shared" si="9"/>
        <v>363062.03826315794</v>
      </c>
      <c r="Z20" s="13">
        <f t="shared" si="9"/>
        <v>420609.77778085228</v>
      </c>
      <c r="AA20" s="13">
        <f t="shared" si="9"/>
        <v>389617.4783654213</v>
      </c>
      <c r="AB20" s="13">
        <f t="shared" si="9"/>
        <v>362733.87235820713</v>
      </c>
      <c r="AC20" s="13">
        <f t="shared" si="9"/>
        <v>314409.92626069393</v>
      </c>
      <c r="AD20" s="13">
        <f t="shared" si="9"/>
        <v>5788617.1254700981</v>
      </c>
      <c r="AF20" s="13">
        <f t="shared" ref="AF20:AQ20" si="10">+AF16-AF18</f>
        <v>452357.8130458435</v>
      </c>
      <c r="AG20" s="13">
        <f t="shared" si="10"/>
        <v>566790.52560307691</v>
      </c>
      <c r="AH20" s="13">
        <f t="shared" si="10"/>
        <v>384774.93158176029</v>
      </c>
      <c r="AI20" s="13">
        <f t="shared" si="10"/>
        <v>300979.50203728792</v>
      </c>
      <c r="AJ20" s="13">
        <f t="shared" si="10"/>
        <v>319569.41245723795</v>
      </c>
      <c r="AK20" s="13">
        <f t="shared" si="10"/>
        <v>331202.27459507203</v>
      </c>
      <c r="AL20" s="13">
        <f t="shared" si="10"/>
        <v>382633.48847862706</v>
      </c>
      <c r="AM20" s="13">
        <f t="shared" si="10"/>
        <v>477829.98258078936</v>
      </c>
      <c r="AN20" s="13">
        <f t="shared" si="10"/>
        <v>478831.02596841287</v>
      </c>
      <c r="AO20" s="13">
        <f t="shared" si="10"/>
        <v>429970.71719612554</v>
      </c>
      <c r="AP20" s="13">
        <f t="shared" si="10"/>
        <v>381240.70258056466</v>
      </c>
      <c r="AQ20" s="13">
        <f t="shared" si="10"/>
        <v>299659.20082411263</v>
      </c>
      <c r="AR20" s="13">
        <f>+AR16-AR18</f>
        <v>4805839.576948911</v>
      </c>
    </row>
    <row r="21" spans="1:44" x14ac:dyDescent="0.15">
      <c r="C21" s="46">
        <f>+C20/C16</f>
        <v>0.14400000000000002</v>
      </c>
      <c r="D21" s="46">
        <f t="shared" ref="D21:O21" si="11">+D20/D16</f>
        <v>0.16200000000000006</v>
      </c>
      <c r="E21" s="46">
        <f t="shared" si="11"/>
        <v>0.14900000000000008</v>
      </c>
      <c r="F21" s="46">
        <f t="shared" si="11"/>
        <v>0.13800000000000001</v>
      </c>
      <c r="G21" s="46">
        <f t="shared" si="11"/>
        <v>0.15300000000000002</v>
      </c>
      <c r="H21" s="46">
        <f t="shared" si="11"/>
        <v>0.15800000000000006</v>
      </c>
      <c r="I21" s="46">
        <f t="shared" si="11"/>
        <v>0.16600000000000009</v>
      </c>
      <c r="J21" s="46">
        <f t="shared" si="11"/>
        <v>0.14499999999999993</v>
      </c>
      <c r="K21" s="46">
        <f t="shared" si="11"/>
        <v>0.15399999999999997</v>
      </c>
      <c r="L21" s="46">
        <f t="shared" si="11"/>
        <v>0.12899999999999998</v>
      </c>
      <c r="M21" s="46">
        <f t="shared" si="11"/>
        <v>0.15400000000000008</v>
      </c>
      <c r="N21" s="46">
        <f t="shared" si="11"/>
        <v>0.15900000000000003</v>
      </c>
      <c r="O21" s="46">
        <f t="shared" si="11"/>
        <v>0.15103129450744679</v>
      </c>
      <c r="Q21" s="46">
        <f t="shared" ref="Q21:AD21" si="12">+Q20/Q16</f>
        <v>0.14100000000000001</v>
      </c>
      <c r="R21" s="46">
        <f t="shared" si="12"/>
        <v>0.16100000000000006</v>
      </c>
      <c r="S21" s="46">
        <f t="shared" si="12"/>
        <v>0.159</v>
      </c>
      <c r="T21" s="46">
        <f t="shared" si="12"/>
        <v>0.128</v>
      </c>
      <c r="U21" s="46">
        <f t="shared" si="12"/>
        <v>0.15300000000000005</v>
      </c>
      <c r="V21" s="46">
        <f t="shared" si="12"/>
        <v>0.14899999999999999</v>
      </c>
      <c r="W21" s="46">
        <f t="shared" si="12"/>
        <v>0.14917796355624247</v>
      </c>
      <c r="X21" s="46">
        <f t="shared" si="12"/>
        <v>0.15000000000000002</v>
      </c>
      <c r="Y21" s="46">
        <f t="shared" si="12"/>
        <v>0.15000000000000002</v>
      </c>
      <c r="Z21" s="46">
        <f t="shared" si="12"/>
        <v>0.14999999999999994</v>
      </c>
      <c r="AA21" s="46">
        <f t="shared" si="12"/>
        <v>0.14000000000000001</v>
      </c>
      <c r="AB21" s="46">
        <f t="shared" si="12"/>
        <v>0.13999999999999996</v>
      </c>
      <c r="AC21" s="46">
        <f t="shared" si="12"/>
        <v>0.13999999999999996</v>
      </c>
      <c r="AD21" s="46">
        <f t="shared" si="12"/>
        <v>0.14754500524219055</v>
      </c>
      <c r="AF21" s="46">
        <f t="shared" ref="AF21:AR21" si="13">+AF20/AF16</f>
        <v>0.14000000000000001</v>
      </c>
      <c r="AG21" s="46">
        <f t="shared" si="13"/>
        <v>0.13999999999999999</v>
      </c>
      <c r="AH21" s="46">
        <f t="shared" si="13"/>
        <v>0.15000000000000002</v>
      </c>
      <c r="AI21" s="46">
        <f t="shared" si="13"/>
        <v>0.15</v>
      </c>
      <c r="AJ21" s="46">
        <f t="shared" si="13"/>
        <v>0.14999999999999997</v>
      </c>
      <c r="AK21" s="46">
        <f t="shared" si="13"/>
        <v>0.15</v>
      </c>
      <c r="AL21" s="46">
        <f t="shared" si="13"/>
        <v>0.15000000000000002</v>
      </c>
      <c r="AM21" s="46">
        <f t="shared" si="13"/>
        <v>0.14999999999999997</v>
      </c>
      <c r="AN21" s="46">
        <f t="shared" si="13"/>
        <v>0.15000000000000008</v>
      </c>
      <c r="AO21" s="46">
        <f t="shared" si="13"/>
        <v>0.15</v>
      </c>
      <c r="AP21" s="46">
        <f t="shared" si="13"/>
        <v>0.14999999999999997</v>
      </c>
      <c r="AQ21" s="46">
        <f t="shared" si="13"/>
        <v>0.14999999999999994</v>
      </c>
      <c r="AR21" s="46">
        <f t="shared" si="13"/>
        <v>0.14776178285513142</v>
      </c>
    </row>
    <row r="22" spans="1:44" x14ac:dyDescent="0.15">
      <c r="A22" s="9" t="s">
        <v>21</v>
      </c>
      <c r="B22" s="10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x14ac:dyDescent="0.15">
      <c r="A23" t="s">
        <v>80</v>
      </c>
      <c r="C23" s="8">
        <v>101467</v>
      </c>
      <c r="D23" s="8">
        <f>(D$10/C$10)*C23</f>
        <v>104637.84375</v>
      </c>
      <c r="E23" s="8">
        <f t="shared" ref="D23:N32" si="14">(E$10/D$10)*D23</f>
        <v>121977.82928571428</v>
      </c>
      <c r="F23" s="8">
        <v>110638</v>
      </c>
      <c r="G23" s="8">
        <f t="shared" si="14"/>
        <v>127252.22703732413</v>
      </c>
      <c r="H23" s="8">
        <v>112612</v>
      </c>
      <c r="I23" s="8">
        <v>110490</v>
      </c>
      <c r="J23" s="8">
        <v>111441</v>
      </c>
      <c r="K23" s="8">
        <v>116897</v>
      </c>
      <c r="L23" s="8">
        <v>116870</v>
      </c>
      <c r="M23" s="8">
        <f t="shared" si="14"/>
        <v>103624.73333333334</v>
      </c>
      <c r="N23" s="8">
        <v>110690</v>
      </c>
      <c r="O23" s="8">
        <f t="shared" ref="O23:O32" si="15">SUM(C23:N23)</f>
        <v>1348597.6334063718</v>
      </c>
      <c r="Q23" s="8">
        <f>+C23*1.06</f>
        <v>107555.02</v>
      </c>
      <c r="R23" s="8">
        <f>+D23*1.02</f>
        <v>106730.60062500001</v>
      </c>
      <c r="S23" s="8">
        <f>+E23*0.98</f>
        <v>119538.27269999999</v>
      </c>
      <c r="T23" s="8">
        <f t="shared" ref="T23:V32" si="16">+F23*1.06</f>
        <v>117276.28</v>
      </c>
      <c r="U23" s="8">
        <f t="shared" si="16"/>
        <v>134887.36065956359</v>
      </c>
      <c r="V23" s="8">
        <f t="shared" si="16"/>
        <v>119368.72</v>
      </c>
      <c r="W23" s="8">
        <f>SUM(Q23:V23)</f>
        <v>705356.25398456352</v>
      </c>
      <c r="X23" s="8">
        <f>+V23*1.01</f>
        <v>120562.4072</v>
      </c>
      <c r="Y23" s="8">
        <f t="shared" ref="Y23:AC23" si="17">+X23*1.01</f>
        <v>121768.03127200001</v>
      </c>
      <c r="Z23" s="8">
        <f t="shared" si="17"/>
        <v>122985.71158472</v>
      </c>
      <c r="AA23" s="8">
        <f t="shared" si="17"/>
        <v>124215.56870056721</v>
      </c>
      <c r="AB23" s="8">
        <f t="shared" si="17"/>
        <v>125457.72438757287</v>
      </c>
      <c r="AC23" s="8">
        <f t="shared" si="17"/>
        <v>126712.3016314486</v>
      </c>
      <c r="AD23" s="8">
        <f t="shared" ref="AD23:AD32" si="18">SUM(Q23:AC23)</f>
        <v>2152414.2527454356</v>
      </c>
      <c r="AF23" s="8">
        <v>128000</v>
      </c>
      <c r="AG23" s="8">
        <v>128000</v>
      </c>
      <c r="AH23" s="8">
        <v>128000</v>
      </c>
      <c r="AI23" s="8">
        <v>128000</v>
      </c>
      <c r="AJ23" s="8">
        <v>128000</v>
      </c>
      <c r="AK23" s="8">
        <v>128000</v>
      </c>
      <c r="AL23" s="8">
        <v>128000</v>
      </c>
      <c r="AM23" s="8">
        <v>128000</v>
      </c>
      <c r="AN23" s="8">
        <v>128000</v>
      </c>
      <c r="AO23" s="8">
        <v>128000</v>
      </c>
      <c r="AP23" s="8">
        <v>128000</v>
      </c>
      <c r="AQ23" s="8">
        <v>128000</v>
      </c>
      <c r="AR23" s="8">
        <f t="shared" ref="AR23:AR32" si="19">SUM(AF23:AQ23)</f>
        <v>1536000</v>
      </c>
    </row>
    <row r="24" spans="1:44" x14ac:dyDescent="0.15">
      <c r="A24" t="s">
        <v>22</v>
      </c>
      <c r="C24" s="8">
        <v>14750</v>
      </c>
      <c r="D24" s="11">
        <v>14820</v>
      </c>
      <c r="E24" s="11">
        <v>14760</v>
      </c>
      <c r="F24" s="11">
        <v>15357</v>
      </c>
      <c r="G24" s="11">
        <f t="shared" si="14"/>
        <v>17663.121627399145</v>
      </c>
      <c r="H24" s="11">
        <v>14800</v>
      </c>
      <c r="I24" s="11">
        <v>14800</v>
      </c>
      <c r="J24" s="11">
        <v>14800</v>
      </c>
      <c r="K24" s="11">
        <v>14800</v>
      </c>
      <c r="L24" s="11">
        <v>14800</v>
      </c>
      <c r="M24" s="11">
        <v>14800</v>
      </c>
      <c r="N24" s="11">
        <v>14800</v>
      </c>
      <c r="O24" s="8">
        <f t="shared" si="15"/>
        <v>180950.12162739914</v>
      </c>
      <c r="Q24" s="11">
        <f t="shared" ref="Q24:Q32" si="20">+C24*1.06</f>
        <v>15635</v>
      </c>
      <c r="R24" s="11">
        <f t="shared" ref="R24:R32" si="21">+D24*1.02</f>
        <v>15116.4</v>
      </c>
      <c r="S24" s="11">
        <f t="shared" ref="S24:S32" si="22">+E24*0.98</f>
        <v>14464.8</v>
      </c>
      <c r="T24" s="11">
        <f t="shared" si="16"/>
        <v>16278.42</v>
      </c>
      <c r="U24" s="11">
        <f t="shared" si="16"/>
        <v>18722.908925043095</v>
      </c>
      <c r="V24" s="11">
        <f t="shared" si="16"/>
        <v>15688</v>
      </c>
      <c r="W24" s="11">
        <f t="shared" ref="W24:W32" si="23">SUM(Q24:V24)</f>
        <v>95905.528925043094</v>
      </c>
      <c r="X24" s="11">
        <v>16500</v>
      </c>
      <c r="Y24" s="11">
        <v>16500</v>
      </c>
      <c r="Z24" s="11">
        <v>16500</v>
      </c>
      <c r="AA24" s="11">
        <v>16500</v>
      </c>
      <c r="AB24" s="11">
        <v>16500</v>
      </c>
      <c r="AC24" s="11">
        <v>16500</v>
      </c>
      <c r="AD24" s="8">
        <f t="shared" si="18"/>
        <v>290811.05785008619</v>
      </c>
      <c r="AF24" s="11">
        <f>16500</f>
        <v>16500</v>
      </c>
      <c r="AG24" s="11">
        <f>16500</f>
        <v>16500</v>
      </c>
      <c r="AH24" s="11">
        <f>16500</f>
        <v>16500</v>
      </c>
      <c r="AI24" s="11">
        <f>16500</f>
        <v>16500</v>
      </c>
      <c r="AJ24" s="11">
        <f>16500</f>
        <v>16500</v>
      </c>
      <c r="AK24" s="11">
        <f>16500</f>
        <v>16500</v>
      </c>
      <c r="AL24" s="11">
        <f>16500</f>
        <v>16500</v>
      </c>
      <c r="AM24" s="11">
        <f>16500</f>
        <v>16500</v>
      </c>
      <c r="AN24" s="11">
        <f>16500</f>
        <v>16500</v>
      </c>
      <c r="AO24" s="11">
        <f>16500</f>
        <v>16500</v>
      </c>
      <c r="AP24" s="11">
        <f>16500</f>
        <v>16500</v>
      </c>
      <c r="AQ24" s="11">
        <f>16500</f>
        <v>16500</v>
      </c>
      <c r="AR24" s="8">
        <f t="shared" si="19"/>
        <v>198000</v>
      </c>
    </row>
    <row r="25" spans="1:44" x14ac:dyDescent="0.15">
      <c r="A25" s="29" t="s">
        <v>23</v>
      </c>
      <c r="C25" s="8">
        <v>5328</v>
      </c>
      <c r="D25" s="11">
        <f t="shared" si="14"/>
        <v>5494.5</v>
      </c>
      <c r="E25" s="11">
        <f t="shared" si="14"/>
        <v>6405.017142857143</v>
      </c>
      <c r="F25" s="11">
        <f t="shared" si="14"/>
        <v>4737.0178596588812</v>
      </c>
      <c r="G25" s="11">
        <f t="shared" si="14"/>
        <v>5448.3637823999998</v>
      </c>
      <c r="H25" s="11">
        <f t="shared" si="14"/>
        <v>5288.1177888000011</v>
      </c>
      <c r="I25" s="11">
        <f t="shared" si="14"/>
        <v>4494.9001204800006</v>
      </c>
      <c r="J25" s="11">
        <f t="shared" si="14"/>
        <v>5369.1471979854532</v>
      </c>
      <c r="K25" s="11">
        <f t="shared" si="14"/>
        <v>5892.8140579492801</v>
      </c>
      <c r="L25" s="11">
        <f t="shared" si="14"/>
        <v>5556.0818260664637</v>
      </c>
      <c r="M25" s="11">
        <f t="shared" si="14"/>
        <v>4926.3925524455981</v>
      </c>
      <c r="N25" s="11">
        <f t="shared" si="14"/>
        <v>4075.9961529463794</v>
      </c>
      <c r="O25" s="8">
        <f t="shared" si="15"/>
        <v>63016.348481589201</v>
      </c>
      <c r="Q25" s="11">
        <f t="shared" si="20"/>
        <v>5647.68</v>
      </c>
      <c r="R25" s="11">
        <f t="shared" si="21"/>
        <v>5604.39</v>
      </c>
      <c r="S25" s="11">
        <f t="shared" si="22"/>
        <v>6276.9168</v>
      </c>
      <c r="T25" s="11">
        <f t="shared" si="16"/>
        <v>5021.2389312384139</v>
      </c>
      <c r="U25" s="11">
        <f t="shared" si="16"/>
        <v>5775.265609344</v>
      </c>
      <c r="V25" s="11">
        <f t="shared" si="16"/>
        <v>5605.4048561280015</v>
      </c>
      <c r="W25" s="11">
        <f t="shared" si="23"/>
        <v>33930.896196710411</v>
      </c>
      <c r="X25" s="11">
        <f>+V25*1.01</f>
        <v>5661.4589046892816</v>
      </c>
      <c r="Y25" s="11">
        <f t="shared" ref="Y25:AC30" si="24">+X25*1.01</f>
        <v>5718.073493736174</v>
      </c>
      <c r="Z25" s="11">
        <f t="shared" si="24"/>
        <v>5775.2542286735361</v>
      </c>
      <c r="AA25" s="11">
        <f t="shared" si="24"/>
        <v>5833.0067709602718</v>
      </c>
      <c r="AB25" s="11">
        <f t="shared" si="24"/>
        <v>5891.3368386698749</v>
      </c>
      <c r="AC25" s="11">
        <f t="shared" si="24"/>
        <v>5950.2502070565733</v>
      </c>
      <c r="AD25" s="8">
        <f t="shared" si="18"/>
        <v>102691.17283720653</v>
      </c>
      <c r="AF25" s="11">
        <f t="shared" ref="AF25:AK28" si="25">+Q25*1.03</f>
        <v>5817.1104000000005</v>
      </c>
      <c r="AG25" s="11">
        <f t="shared" si="25"/>
        <v>5772.5217000000002</v>
      </c>
      <c r="AH25" s="11">
        <f t="shared" si="25"/>
        <v>6465.2243040000003</v>
      </c>
      <c r="AI25" s="11">
        <f t="shared" si="25"/>
        <v>5171.8760991755662</v>
      </c>
      <c r="AJ25" s="11">
        <f t="shared" si="25"/>
        <v>5948.5235776243198</v>
      </c>
      <c r="AK25" s="11">
        <f t="shared" si="25"/>
        <v>5773.5670018118417</v>
      </c>
      <c r="AL25" s="11">
        <f t="shared" ref="AL25:AQ26" si="26">+X25*1.03</f>
        <v>5831.3026718299598</v>
      </c>
      <c r="AM25" s="11">
        <f t="shared" si="26"/>
        <v>5889.6156985482594</v>
      </c>
      <c r="AN25" s="11">
        <f t="shared" si="26"/>
        <v>5948.5118555337422</v>
      </c>
      <c r="AO25" s="11">
        <f t="shared" si="26"/>
        <v>6007.9969740890801</v>
      </c>
      <c r="AP25" s="11">
        <f t="shared" si="26"/>
        <v>6068.0769438299712</v>
      </c>
      <c r="AQ25" s="11">
        <f t="shared" si="26"/>
        <v>6128.7577132682709</v>
      </c>
      <c r="AR25" s="8">
        <f t="shared" si="19"/>
        <v>70823.084939711</v>
      </c>
    </row>
    <row r="26" spans="1:44" x14ac:dyDescent="0.15">
      <c r="A26" s="29" t="s">
        <v>24</v>
      </c>
      <c r="C26" s="8">
        <v>12480</v>
      </c>
      <c r="D26" s="11">
        <f t="shared" si="14"/>
        <v>12870</v>
      </c>
      <c r="E26" s="11">
        <f t="shared" si="14"/>
        <v>15002.742857142857</v>
      </c>
      <c r="F26" s="11">
        <f t="shared" si="14"/>
        <v>11095.717509110893</v>
      </c>
      <c r="G26" s="11">
        <f t="shared" si="14"/>
        <v>12761.933184</v>
      </c>
      <c r="H26" s="11">
        <f t="shared" si="14"/>
        <v>12386.582208000002</v>
      </c>
      <c r="I26" s="11">
        <f t="shared" si="14"/>
        <v>10528.594876800002</v>
      </c>
      <c r="J26" s="11">
        <f t="shared" si="14"/>
        <v>12576.380824110071</v>
      </c>
      <c r="K26" s="11">
        <f t="shared" si="14"/>
        <v>13802.9878834848</v>
      </c>
      <c r="L26" s="11">
        <f t="shared" si="14"/>
        <v>13014.245718714241</v>
      </c>
      <c r="M26" s="11">
        <f t="shared" si="14"/>
        <v>11539.297870593295</v>
      </c>
      <c r="N26" s="11">
        <f t="shared" si="14"/>
        <v>9547.3783762708008</v>
      </c>
      <c r="O26" s="8">
        <f t="shared" si="15"/>
        <v>147605.86130822697</v>
      </c>
      <c r="Q26" s="11">
        <f t="shared" si="20"/>
        <v>13228.800000000001</v>
      </c>
      <c r="R26" s="11">
        <f t="shared" si="21"/>
        <v>13127.4</v>
      </c>
      <c r="S26" s="11">
        <f t="shared" si="22"/>
        <v>14702.688</v>
      </c>
      <c r="T26" s="11">
        <f t="shared" si="16"/>
        <v>11761.460559657547</v>
      </c>
      <c r="U26" s="11">
        <v>13420</v>
      </c>
      <c r="V26" s="11">
        <f t="shared" si="16"/>
        <v>13129.777140480002</v>
      </c>
      <c r="W26" s="11">
        <f t="shared" si="23"/>
        <v>79370.125700137549</v>
      </c>
      <c r="X26" s="11">
        <f>+V26*1.01</f>
        <v>13261.074911884802</v>
      </c>
      <c r="Y26" s="11">
        <f t="shared" si="24"/>
        <v>13393.68566100365</v>
      </c>
      <c r="Z26" s="11">
        <f t="shared" si="24"/>
        <v>13527.622517613687</v>
      </c>
      <c r="AA26" s="11">
        <f t="shared" si="24"/>
        <v>13662.898742789825</v>
      </c>
      <c r="AB26" s="11">
        <f t="shared" si="24"/>
        <v>13799.527730217724</v>
      </c>
      <c r="AC26" s="11">
        <f t="shared" si="24"/>
        <v>13937.523007519902</v>
      </c>
      <c r="AD26" s="8">
        <f t="shared" si="18"/>
        <v>240322.5839713047</v>
      </c>
      <c r="AF26" s="11">
        <f t="shared" si="25"/>
        <v>13625.664000000001</v>
      </c>
      <c r="AG26" s="11">
        <f t="shared" si="25"/>
        <v>13521.222</v>
      </c>
      <c r="AH26" s="11">
        <f t="shared" si="25"/>
        <v>15143.76864</v>
      </c>
      <c r="AI26" s="11">
        <f t="shared" si="25"/>
        <v>12114.304376447275</v>
      </c>
      <c r="AJ26" s="11">
        <f t="shared" si="25"/>
        <v>13822.6</v>
      </c>
      <c r="AK26" s="11">
        <f t="shared" si="25"/>
        <v>13523.670454694402</v>
      </c>
      <c r="AL26" s="11">
        <f t="shared" si="26"/>
        <v>13658.907159241346</v>
      </c>
      <c r="AM26" s="11">
        <f t="shared" si="26"/>
        <v>13795.49623083376</v>
      </c>
      <c r="AN26" s="11">
        <f t="shared" si="26"/>
        <v>13933.451193142098</v>
      </c>
      <c r="AO26" s="11">
        <f t="shared" si="26"/>
        <v>14072.78570507352</v>
      </c>
      <c r="AP26" s="11">
        <f t="shared" si="26"/>
        <v>14213.513562124255</v>
      </c>
      <c r="AQ26" s="11">
        <f t="shared" si="26"/>
        <v>14355.648697745499</v>
      </c>
      <c r="AR26" s="8">
        <f t="shared" si="19"/>
        <v>165781.03201930216</v>
      </c>
    </row>
    <row r="27" spans="1:44" x14ac:dyDescent="0.15">
      <c r="A27" s="29" t="s">
        <v>27</v>
      </c>
      <c r="C27" s="8">
        <v>3544</v>
      </c>
      <c r="D27" s="11">
        <f t="shared" si="14"/>
        <v>3654.75</v>
      </c>
      <c r="E27" s="11">
        <f t="shared" si="14"/>
        <v>4260.3942857142856</v>
      </c>
      <c r="F27" s="11">
        <f t="shared" si="14"/>
        <v>3150.8992670103371</v>
      </c>
      <c r="G27" s="11">
        <f t="shared" si="14"/>
        <v>3624.0617952000002</v>
      </c>
      <c r="H27" s="11">
        <f t="shared" si="14"/>
        <v>3517.4717424000009</v>
      </c>
      <c r="I27" s="11">
        <f t="shared" si="14"/>
        <v>2989.8509810400005</v>
      </c>
      <c r="J27" s="11">
        <f t="shared" si="14"/>
        <v>3571.3696827440776</v>
      </c>
      <c r="K27" s="11">
        <f t="shared" si="14"/>
        <v>3919.6946361434398</v>
      </c>
      <c r="L27" s="11">
        <f t="shared" si="14"/>
        <v>3695.7120855066719</v>
      </c>
      <c r="M27" s="11">
        <f t="shared" si="14"/>
        <v>3276.864715815916</v>
      </c>
      <c r="N27" s="11">
        <f t="shared" si="14"/>
        <v>2711.2106542871566</v>
      </c>
      <c r="O27" s="8">
        <f t="shared" si="15"/>
        <v>41916.279845861878</v>
      </c>
      <c r="Q27" s="11">
        <f t="shared" si="20"/>
        <v>3756.6400000000003</v>
      </c>
      <c r="R27" s="11">
        <f t="shared" si="21"/>
        <v>3727.8450000000003</v>
      </c>
      <c r="S27" s="11">
        <f t="shared" si="22"/>
        <v>4175.1863999999996</v>
      </c>
      <c r="T27" s="11">
        <f t="shared" si="16"/>
        <v>3339.9532230309574</v>
      </c>
      <c r="U27" s="11">
        <v>3370</v>
      </c>
      <c r="V27" s="11">
        <f t="shared" si="16"/>
        <v>3728.520046944001</v>
      </c>
      <c r="W27" s="11">
        <f t="shared" si="23"/>
        <v>22098.144669974958</v>
      </c>
      <c r="X27" s="11">
        <f>+V27*1.01</f>
        <v>3765.8052474134411</v>
      </c>
      <c r="Y27" s="11">
        <f t="shared" si="24"/>
        <v>3803.4632998875754</v>
      </c>
      <c r="Z27" s="11">
        <f t="shared" si="24"/>
        <v>3841.4979328864511</v>
      </c>
      <c r="AA27" s="11">
        <f t="shared" si="24"/>
        <v>3879.9129122153154</v>
      </c>
      <c r="AB27" s="11">
        <f t="shared" si="24"/>
        <v>3918.7120413374687</v>
      </c>
      <c r="AC27" s="11">
        <f t="shared" si="24"/>
        <v>3957.8991617508436</v>
      </c>
      <c r="AD27" s="8">
        <f t="shared" si="18"/>
        <v>67363.579935441012</v>
      </c>
      <c r="AF27" s="11">
        <f t="shared" si="25"/>
        <v>3869.3392000000003</v>
      </c>
      <c r="AG27" s="11">
        <f t="shared" si="25"/>
        <v>3839.6803500000005</v>
      </c>
      <c r="AH27" s="11">
        <f t="shared" si="25"/>
        <v>4300.441992</v>
      </c>
      <c r="AI27" s="11">
        <f t="shared" si="25"/>
        <v>3440.1518197218861</v>
      </c>
      <c r="AJ27" s="11">
        <f t="shared" si="25"/>
        <v>3471.1</v>
      </c>
      <c r="AK27" s="11">
        <f t="shared" si="25"/>
        <v>3840.3756483523212</v>
      </c>
      <c r="AL27" s="11">
        <f t="shared" ref="AL27:AQ28" si="27">+X27*1.03</f>
        <v>3878.7794048358446</v>
      </c>
      <c r="AM27" s="11">
        <f t="shared" si="27"/>
        <v>3917.5671988842028</v>
      </c>
      <c r="AN27" s="11">
        <f t="shared" si="27"/>
        <v>3956.7428708730445</v>
      </c>
      <c r="AO27" s="11">
        <f t="shared" si="27"/>
        <v>3996.3102995817749</v>
      </c>
      <c r="AP27" s="11">
        <f t="shared" si="27"/>
        <v>4036.2734025775931</v>
      </c>
      <c r="AQ27" s="11">
        <f t="shared" si="27"/>
        <v>4076.6361366033689</v>
      </c>
      <c r="AR27" s="8">
        <f t="shared" si="19"/>
        <v>46623.398323430039</v>
      </c>
    </row>
    <row r="28" spans="1:44" x14ac:dyDescent="0.15">
      <c r="A28" s="29" t="s">
        <v>28</v>
      </c>
      <c r="C28" s="8">
        <v>2853</v>
      </c>
      <c r="D28" s="11">
        <f t="shared" si="14"/>
        <v>2942.15625</v>
      </c>
      <c r="E28" s="11">
        <f t="shared" si="14"/>
        <v>3429.7135714285714</v>
      </c>
      <c r="F28" s="11">
        <f t="shared" si="14"/>
        <v>2536.5450363376103</v>
      </c>
      <c r="G28" s="11">
        <f t="shared" si="14"/>
        <v>2917.4515523999999</v>
      </c>
      <c r="H28" s="11">
        <f t="shared" si="14"/>
        <v>2831.6441538000004</v>
      </c>
      <c r="I28" s="11">
        <f t="shared" si="14"/>
        <v>2406.8975307300002</v>
      </c>
      <c r="J28" s="11">
        <f t="shared" si="14"/>
        <v>2875.0332124347779</v>
      </c>
      <c r="K28" s="11">
        <f t="shared" si="14"/>
        <v>3155.4426627870298</v>
      </c>
      <c r="L28" s="11">
        <f t="shared" si="14"/>
        <v>2975.1316534849138</v>
      </c>
      <c r="M28" s="11">
        <f t="shared" si="14"/>
        <v>2637.9500660899571</v>
      </c>
      <c r="N28" s="11">
        <f t="shared" si="14"/>
        <v>2182.5857778445984</v>
      </c>
      <c r="O28" s="8">
        <f t="shared" si="15"/>
        <v>33743.551467337464</v>
      </c>
      <c r="Q28" s="11">
        <f t="shared" si="20"/>
        <v>3024.1800000000003</v>
      </c>
      <c r="R28" s="11">
        <f t="shared" si="21"/>
        <v>3000.9993749999999</v>
      </c>
      <c r="S28" s="11">
        <f t="shared" si="22"/>
        <v>3361.1192999999998</v>
      </c>
      <c r="T28" s="11">
        <f t="shared" si="16"/>
        <v>2688.737738517867</v>
      </c>
      <c r="U28" s="11">
        <f t="shared" si="16"/>
        <v>3092.4986455439998</v>
      </c>
      <c r="V28" s="11">
        <f t="shared" si="16"/>
        <v>3001.5428030280004</v>
      </c>
      <c r="W28" s="11">
        <f t="shared" si="23"/>
        <v>18169.077862089867</v>
      </c>
      <c r="X28" s="11">
        <v>3200</v>
      </c>
      <c r="Y28" s="11">
        <v>3200</v>
      </c>
      <c r="Z28" s="11">
        <v>3200</v>
      </c>
      <c r="AA28" s="11">
        <v>3200</v>
      </c>
      <c r="AB28" s="11">
        <v>3200</v>
      </c>
      <c r="AC28" s="11">
        <v>3200</v>
      </c>
      <c r="AD28" s="8">
        <f t="shared" si="18"/>
        <v>55538.155724179735</v>
      </c>
      <c r="AF28" s="11">
        <f t="shared" si="25"/>
        <v>3114.9054000000006</v>
      </c>
      <c r="AG28" s="11">
        <f t="shared" si="25"/>
        <v>3091.0293562500001</v>
      </c>
      <c r="AH28" s="11">
        <f t="shared" si="25"/>
        <v>3461.9528789999999</v>
      </c>
      <c r="AI28" s="11">
        <f t="shared" si="25"/>
        <v>2769.3998706734033</v>
      </c>
      <c r="AJ28" s="11">
        <f t="shared" si="25"/>
        <v>3185.27360491032</v>
      </c>
      <c r="AK28" s="11">
        <f t="shared" si="25"/>
        <v>3091.5890871188403</v>
      </c>
      <c r="AL28" s="11">
        <f t="shared" si="27"/>
        <v>3296</v>
      </c>
      <c r="AM28" s="11">
        <f t="shared" si="27"/>
        <v>3296</v>
      </c>
      <c r="AN28" s="11">
        <f t="shared" si="27"/>
        <v>3296</v>
      </c>
      <c r="AO28" s="11">
        <f t="shared" si="27"/>
        <v>3296</v>
      </c>
      <c r="AP28" s="11">
        <f t="shared" si="27"/>
        <v>3296</v>
      </c>
      <c r="AQ28" s="11">
        <f t="shared" si="27"/>
        <v>3296</v>
      </c>
      <c r="AR28" s="8">
        <f t="shared" si="19"/>
        <v>38490.150197952564</v>
      </c>
    </row>
    <row r="29" spans="1:44" x14ac:dyDescent="0.15">
      <c r="A29" s="54" t="s">
        <v>110</v>
      </c>
      <c r="C29" s="8">
        <v>4500</v>
      </c>
      <c r="D29" s="11">
        <f t="shared" si="14"/>
        <v>4640.625</v>
      </c>
      <c r="E29" s="11">
        <f t="shared" si="14"/>
        <v>5409.6428571428569</v>
      </c>
      <c r="F29" s="11">
        <f t="shared" si="14"/>
        <v>4000.8596787659471</v>
      </c>
      <c r="G29" s="11">
        <f t="shared" si="14"/>
        <v>4601.6585999999998</v>
      </c>
      <c r="H29" s="11">
        <f t="shared" si="14"/>
        <v>4466.315700000001</v>
      </c>
      <c r="I29" s="11">
        <f t="shared" si="14"/>
        <v>3796.3683450000008</v>
      </c>
      <c r="J29" s="11">
        <f t="shared" si="14"/>
        <v>4534.7527010012273</v>
      </c>
      <c r="K29" s="11">
        <f t="shared" si="14"/>
        <v>4977.0389002949996</v>
      </c>
      <c r="L29" s="11">
        <f t="shared" si="14"/>
        <v>4692.6366774209991</v>
      </c>
      <c r="M29" s="11">
        <f t="shared" si="14"/>
        <v>4160.8045206466195</v>
      </c>
      <c r="N29" s="11">
        <f t="shared" si="14"/>
        <v>3442.564318366874</v>
      </c>
      <c r="O29" s="8">
        <f t="shared" si="15"/>
        <v>53223.267298639526</v>
      </c>
      <c r="Q29" s="11">
        <f t="shared" si="20"/>
        <v>4770</v>
      </c>
      <c r="R29" s="11">
        <f t="shared" si="21"/>
        <v>4733.4375</v>
      </c>
      <c r="S29" s="11">
        <f t="shared" si="22"/>
        <v>5301.45</v>
      </c>
      <c r="T29" s="11">
        <f t="shared" si="16"/>
        <v>4240.9112594919043</v>
      </c>
      <c r="U29" s="11">
        <v>4689</v>
      </c>
      <c r="V29" s="11">
        <f t="shared" si="16"/>
        <v>4734.2946420000017</v>
      </c>
      <c r="W29" s="11">
        <f t="shared" si="23"/>
        <v>28469.093401491904</v>
      </c>
      <c r="X29" s="11">
        <v>5000</v>
      </c>
      <c r="Y29" s="11">
        <v>5000</v>
      </c>
      <c r="Z29" s="11">
        <v>5000</v>
      </c>
      <c r="AA29" s="11">
        <v>5000</v>
      </c>
      <c r="AB29" s="11">
        <v>5000</v>
      </c>
      <c r="AC29" s="11">
        <v>5000</v>
      </c>
      <c r="AD29" s="8">
        <f t="shared" si="18"/>
        <v>86938.186802983808</v>
      </c>
      <c r="AF29" s="11">
        <v>6000</v>
      </c>
      <c r="AG29" s="11">
        <v>6000</v>
      </c>
      <c r="AH29" s="11">
        <v>6000</v>
      </c>
      <c r="AI29" s="11">
        <v>6000</v>
      </c>
      <c r="AJ29" s="11">
        <v>6000</v>
      </c>
      <c r="AK29" s="11">
        <v>6000</v>
      </c>
      <c r="AL29" s="11">
        <v>6000</v>
      </c>
      <c r="AM29" s="11">
        <v>6000</v>
      </c>
      <c r="AN29" s="11">
        <v>6000</v>
      </c>
      <c r="AO29" s="11">
        <v>6000</v>
      </c>
      <c r="AP29" s="11">
        <v>6000</v>
      </c>
      <c r="AQ29" s="11">
        <v>6000</v>
      </c>
      <c r="AR29" s="8">
        <f t="shared" si="19"/>
        <v>72000</v>
      </c>
    </row>
    <row r="30" spans="1:44" x14ac:dyDescent="0.15">
      <c r="A30" s="54" t="s">
        <v>114</v>
      </c>
      <c r="C30" s="8">
        <v>2980</v>
      </c>
      <c r="D30" s="11">
        <f t="shared" si="14"/>
        <v>3073.125</v>
      </c>
      <c r="E30" s="11">
        <f t="shared" si="14"/>
        <v>3582.3857142857141</v>
      </c>
      <c r="F30" s="11">
        <f t="shared" si="14"/>
        <v>2649.4581872716717</v>
      </c>
      <c r="G30" s="11">
        <f t="shared" si="14"/>
        <v>3047.3205840000001</v>
      </c>
      <c r="H30" s="11">
        <f t="shared" si="14"/>
        <v>2957.6935080000007</v>
      </c>
      <c r="I30" s="11">
        <f t="shared" si="14"/>
        <v>2514.0394818000004</v>
      </c>
      <c r="J30" s="11">
        <f t="shared" si="14"/>
        <v>3003.014010885257</v>
      </c>
      <c r="K30" s="11">
        <f t="shared" si="14"/>
        <v>3295.9057606397996</v>
      </c>
      <c r="L30" s="11">
        <f t="shared" si="14"/>
        <v>3107.5682886032396</v>
      </c>
      <c r="M30" s="11">
        <f t="shared" si="14"/>
        <v>2755.3772158948727</v>
      </c>
      <c r="N30" s="11">
        <f t="shared" si="14"/>
        <v>2279.7425930518411</v>
      </c>
      <c r="O30" s="8">
        <f t="shared" si="15"/>
        <v>35245.6303444324</v>
      </c>
      <c r="Q30" s="11">
        <f t="shared" si="20"/>
        <v>3158.8</v>
      </c>
      <c r="R30" s="11">
        <f t="shared" si="21"/>
        <v>3134.5875000000001</v>
      </c>
      <c r="S30" s="11">
        <f t="shared" si="22"/>
        <v>3510.7379999999998</v>
      </c>
      <c r="T30" s="11">
        <f t="shared" si="16"/>
        <v>2808.425678507972</v>
      </c>
      <c r="U30" s="11">
        <f t="shared" si="16"/>
        <v>3230.15981904</v>
      </c>
      <c r="V30" s="11">
        <f t="shared" si="16"/>
        <v>3135.155118480001</v>
      </c>
      <c r="W30" s="11">
        <f t="shared" si="23"/>
        <v>18977.866116027973</v>
      </c>
      <c r="X30" s="11">
        <f>+V30*1.01</f>
        <v>3166.5066696648009</v>
      </c>
      <c r="Y30" s="11">
        <f t="shared" si="24"/>
        <v>3198.1717363614489</v>
      </c>
      <c r="Z30" s="11">
        <f t="shared" si="24"/>
        <v>3230.1534537250636</v>
      </c>
      <c r="AA30" s="11">
        <f t="shared" si="24"/>
        <v>3262.4549882623141</v>
      </c>
      <c r="AB30" s="11">
        <f t="shared" si="24"/>
        <v>3295.0795381449375</v>
      </c>
      <c r="AC30" s="11">
        <f t="shared" si="24"/>
        <v>3328.030333526387</v>
      </c>
      <c r="AD30" s="8">
        <f t="shared" si="18"/>
        <v>57436.128951740895</v>
      </c>
      <c r="AF30" s="11">
        <f t="shared" ref="AF30:AK30" si="28">+Q30*1.03</f>
        <v>3253.5640000000003</v>
      </c>
      <c r="AG30" s="11">
        <f t="shared" si="28"/>
        <v>3228.625125</v>
      </c>
      <c r="AH30" s="11">
        <f t="shared" si="28"/>
        <v>3616.06014</v>
      </c>
      <c r="AI30" s="11">
        <f t="shared" si="28"/>
        <v>2892.6784488632111</v>
      </c>
      <c r="AJ30" s="11">
        <f t="shared" si="28"/>
        <v>3327.0646136112</v>
      </c>
      <c r="AK30" s="11">
        <f t="shared" si="28"/>
        <v>3229.2097720344009</v>
      </c>
      <c r="AL30" s="11">
        <f t="shared" ref="AL30:AQ30" si="29">+X30*1.03</f>
        <v>3261.5018697547453</v>
      </c>
      <c r="AM30" s="11">
        <f t="shared" si="29"/>
        <v>3294.1168884522926</v>
      </c>
      <c r="AN30" s="11">
        <f t="shared" si="29"/>
        <v>3327.0580573368156</v>
      </c>
      <c r="AO30" s="11">
        <f t="shared" si="29"/>
        <v>3360.3286379101837</v>
      </c>
      <c r="AP30" s="11">
        <f t="shared" si="29"/>
        <v>3393.9319242892857</v>
      </c>
      <c r="AQ30" s="11">
        <f t="shared" si="29"/>
        <v>3427.8712435321786</v>
      </c>
      <c r="AR30" s="8">
        <f t="shared" si="19"/>
        <v>39612.010720784318</v>
      </c>
    </row>
    <row r="31" spans="1:44" x14ac:dyDescent="0.15">
      <c r="A31" t="s">
        <v>93</v>
      </c>
      <c r="C31" s="8">
        <v>5475</v>
      </c>
      <c r="D31" s="8">
        <v>5475</v>
      </c>
      <c r="E31" s="8">
        <v>5475</v>
      </c>
      <c r="F31" s="8">
        <v>5475</v>
      </c>
      <c r="G31" s="8">
        <v>5475</v>
      </c>
      <c r="H31" s="8">
        <v>5475</v>
      </c>
      <c r="I31" s="8">
        <v>5475</v>
      </c>
      <c r="J31" s="8">
        <v>5475</v>
      </c>
      <c r="K31" s="8">
        <v>5475</v>
      </c>
      <c r="L31" s="8">
        <v>5475</v>
      </c>
      <c r="M31" s="8">
        <v>5475</v>
      </c>
      <c r="N31" s="8">
        <v>10350</v>
      </c>
      <c r="O31" s="8">
        <f t="shared" si="15"/>
        <v>70575</v>
      </c>
      <c r="Q31" s="11">
        <v>5850</v>
      </c>
      <c r="R31" s="11">
        <v>5850</v>
      </c>
      <c r="S31" s="11">
        <v>5850</v>
      </c>
      <c r="T31" s="11">
        <v>5850</v>
      </c>
      <c r="U31" s="11">
        <v>5850</v>
      </c>
      <c r="V31" s="11">
        <v>5850</v>
      </c>
      <c r="W31" s="11">
        <f t="shared" si="23"/>
        <v>35100</v>
      </c>
      <c r="X31" s="8">
        <f>+V31</f>
        <v>5850</v>
      </c>
      <c r="Y31" s="8">
        <f t="shared" ref="Y31:AC31" si="30">+X31</f>
        <v>5850</v>
      </c>
      <c r="Z31" s="8">
        <f t="shared" si="30"/>
        <v>5850</v>
      </c>
      <c r="AA31" s="8">
        <f t="shared" si="30"/>
        <v>5850</v>
      </c>
      <c r="AB31" s="8">
        <f t="shared" si="30"/>
        <v>5850</v>
      </c>
      <c r="AC31" s="8">
        <f t="shared" si="30"/>
        <v>5850</v>
      </c>
      <c r="AD31" s="8">
        <f t="shared" si="18"/>
        <v>105300</v>
      </c>
      <c r="AF31" s="11">
        <v>6000</v>
      </c>
      <c r="AG31" s="11">
        <v>6000</v>
      </c>
      <c r="AH31" s="11">
        <v>6000</v>
      </c>
      <c r="AI31" s="11">
        <v>6000</v>
      </c>
      <c r="AJ31" s="11">
        <v>6000</v>
      </c>
      <c r="AK31" s="11">
        <v>6000</v>
      </c>
      <c r="AL31" s="11">
        <v>6000</v>
      </c>
      <c r="AM31" s="11">
        <v>6000</v>
      </c>
      <c r="AN31" s="11">
        <v>6000</v>
      </c>
      <c r="AO31" s="11">
        <v>6000</v>
      </c>
      <c r="AP31" s="11">
        <v>6000</v>
      </c>
      <c r="AQ31" s="11">
        <v>6000</v>
      </c>
      <c r="AR31" s="8">
        <f t="shared" si="19"/>
        <v>72000</v>
      </c>
    </row>
    <row r="32" spans="1:44" x14ac:dyDescent="0.15">
      <c r="A32" s="54" t="s">
        <v>111</v>
      </c>
      <c r="C32" s="6">
        <v>5496</v>
      </c>
      <c r="D32" s="6">
        <f t="shared" si="14"/>
        <v>5667.75</v>
      </c>
      <c r="E32" s="6">
        <f t="shared" si="14"/>
        <v>6606.977142857143</v>
      </c>
      <c r="F32" s="6">
        <f t="shared" si="14"/>
        <v>4886.3832876661436</v>
      </c>
      <c r="G32" s="6">
        <f t="shared" si="14"/>
        <v>5620.1590367999997</v>
      </c>
      <c r="H32" s="6">
        <f t="shared" si="14"/>
        <v>5454.8602416000012</v>
      </c>
      <c r="I32" s="6">
        <f t="shared" si="14"/>
        <v>4636.6312053600013</v>
      </c>
      <c r="J32" s="6">
        <f t="shared" si="14"/>
        <v>5538.4446321561663</v>
      </c>
      <c r="K32" s="6">
        <f t="shared" si="14"/>
        <v>6078.6235102269611</v>
      </c>
      <c r="L32" s="6">
        <f t="shared" si="14"/>
        <v>5731.273595356849</v>
      </c>
      <c r="M32" s="6">
        <f t="shared" si="14"/>
        <v>5081.7292545497394</v>
      </c>
      <c r="N32" s="6">
        <f t="shared" si="14"/>
        <v>4204.51855416541</v>
      </c>
      <c r="O32" s="6">
        <f t="shared" si="15"/>
        <v>65003.350460738424</v>
      </c>
      <c r="Q32" s="6">
        <f t="shared" si="20"/>
        <v>5825.76</v>
      </c>
      <c r="R32" s="6">
        <f t="shared" si="21"/>
        <v>5781.1050000000005</v>
      </c>
      <c r="S32" s="6">
        <f t="shared" si="22"/>
        <v>6474.8375999999998</v>
      </c>
      <c r="T32" s="6">
        <f t="shared" si="16"/>
        <v>5179.5662849261125</v>
      </c>
      <c r="U32" s="6">
        <f t="shared" si="16"/>
        <v>5957.3685790079999</v>
      </c>
      <c r="V32" s="6">
        <f t="shared" si="16"/>
        <v>5782.1518560960012</v>
      </c>
      <c r="W32" s="6">
        <f t="shared" si="23"/>
        <v>35000.789320030119</v>
      </c>
      <c r="X32" s="6">
        <v>6000</v>
      </c>
      <c r="Y32" s="6">
        <v>6000</v>
      </c>
      <c r="Z32" s="6">
        <v>6000</v>
      </c>
      <c r="AA32" s="6">
        <v>6000</v>
      </c>
      <c r="AB32" s="6">
        <v>6000</v>
      </c>
      <c r="AC32" s="6">
        <v>6000</v>
      </c>
      <c r="AD32" s="6">
        <f t="shared" si="18"/>
        <v>106001.57864006024</v>
      </c>
      <c r="AF32" s="6">
        <v>7000</v>
      </c>
      <c r="AG32" s="6">
        <v>7000</v>
      </c>
      <c r="AH32" s="6">
        <v>7000</v>
      </c>
      <c r="AI32" s="6">
        <v>7000</v>
      </c>
      <c r="AJ32" s="6">
        <v>7000</v>
      </c>
      <c r="AK32" s="6">
        <v>7000</v>
      </c>
      <c r="AL32" s="6">
        <v>7000</v>
      </c>
      <c r="AM32" s="6">
        <v>7000</v>
      </c>
      <c r="AN32" s="6">
        <v>7000</v>
      </c>
      <c r="AO32" s="6">
        <v>7000</v>
      </c>
      <c r="AP32" s="6">
        <v>7000</v>
      </c>
      <c r="AQ32" s="6">
        <v>7000</v>
      </c>
      <c r="AR32" s="6">
        <f t="shared" si="19"/>
        <v>84000</v>
      </c>
    </row>
    <row r="33" spans="1:44" x14ac:dyDescent="0.15">
      <c r="A33" s="1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1:44" x14ac:dyDescent="0.15">
      <c r="A34" s="1" t="s">
        <v>18</v>
      </c>
      <c r="C34" s="6">
        <f t="shared" ref="C34:O34" si="31">SUM(C23:C32)</f>
        <v>158873</v>
      </c>
      <c r="D34" s="6">
        <f t="shared" si="31"/>
        <v>163275.75</v>
      </c>
      <c r="E34" s="6">
        <f t="shared" si="31"/>
        <v>186909.70285714287</v>
      </c>
      <c r="F34" s="6">
        <f t="shared" si="31"/>
        <v>164526.88082582143</v>
      </c>
      <c r="G34" s="6">
        <f t="shared" si="31"/>
        <v>188411.29719952325</v>
      </c>
      <c r="H34" s="6">
        <f t="shared" si="31"/>
        <v>169789.68534260002</v>
      </c>
      <c r="I34" s="6">
        <f t="shared" si="31"/>
        <v>162132.28254121001</v>
      </c>
      <c r="J34" s="6">
        <f t="shared" si="31"/>
        <v>169184.14226131706</v>
      </c>
      <c r="K34" s="6">
        <f t="shared" si="31"/>
        <v>178294.50741152637</v>
      </c>
      <c r="L34" s="6">
        <f t="shared" si="31"/>
        <v>175917.64984515336</v>
      </c>
      <c r="M34" s="6">
        <f t="shared" si="31"/>
        <v>158278.14952936934</v>
      </c>
      <c r="N34" s="6">
        <f t="shared" si="31"/>
        <v>164283.99642693304</v>
      </c>
      <c r="O34" s="6">
        <f t="shared" si="31"/>
        <v>2039877.0442405969</v>
      </c>
      <c r="Q34" s="6">
        <f t="shared" ref="Q34:AD34" si="32">SUM(Q23:Q32)</f>
        <v>168451.88</v>
      </c>
      <c r="R34" s="6">
        <f t="shared" si="32"/>
        <v>166806.76500000001</v>
      </c>
      <c r="S34" s="6">
        <f t="shared" si="32"/>
        <v>183656.00880000001</v>
      </c>
      <c r="T34" s="6">
        <f t="shared" si="32"/>
        <v>174444.99367537079</v>
      </c>
      <c r="U34" s="6">
        <f t="shared" si="32"/>
        <v>198994.5622375427</v>
      </c>
      <c r="V34" s="6">
        <f t="shared" si="32"/>
        <v>180023.56646315599</v>
      </c>
      <c r="W34" s="6">
        <f t="shared" si="32"/>
        <v>1072377.7761760692</v>
      </c>
      <c r="X34" s="6">
        <f t="shared" si="32"/>
        <v>182967.25293365234</v>
      </c>
      <c r="Y34" s="6">
        <f t="shared" si="32"/>
        <v>184431.42546298887</v>
      </c>
      <c r="Z34" s="6">
        <f t="shared" si="32"/>
        <v>185910.23971761874</v>
      </c>
      <c r="AA34" s="6">
        <f t="shared" si="32"/>
        <v>187403.84211479491</v>
      </c>
      <c r="AB34" s="6">
        <f t="shared" si="32"/>
        <v>188912.38053594288</v>
      </c>
      <c r="AC34" s="6">
        <f t="shared" si="32"/>
        <v>190436.00434130232</v>
      </c>
      <c r="AD34" s="6">
        <f t="shared" si="32"/>
        <v>3264816.6974584386</v>
      </c>
      <c r="AF34" s="6">
        <f t="shared" ref="AF34:AR34" si="33">SUM(AF23:AF32)</f>
        <v>193180.58299999998</v>
      </c>
      <c r="AG34" s="6">
        <f t="shared" si="33"/>
        <v>192953.07853125001</v>
      </c>
      <c r="AH34" s="6">
        <f t="shared" si="33"/>
        <v>196487.44795499998</v>
      </c>
      <c r="AI34" s="6">
        <f t="shared" si="33"/>
        <v>189888.41061488134</v>
      </c>
      <c r="AJ34" s="6">
        <f t="shared" si="33"/>
        <v>193254.56179614586</v>
      </c>
      <c r="AK34" s="6">
        <f t="shared" si="33"/>
        <v>192958.41196401179</v>
      </c>
      <c r="AL34" s="6">
        <f t="shared" si="33"/>
        <v>193426.4911056619</v>
      </c>
      <c r="AM34" s="6">
        <f t="shared" si="33"/>
        <v>193692.79601671852</v>
      </c>
      <c r="AN34" s="6">
        <f t="shared" si="33"/>
        <v>193961.7639768857</v>
      </c>
      <c r="AO34" s="6">
        <f t="shared" si="33"/>
        <v>194233.42161665455</v>
      </c>
      <c r="AP34" s="6">
        <f t="shared" si="33"/>
        <v>194507.79583282111</v>
      </c>
      <c r="AQ34" s="6">
        <f t="shared" si="33"/>
        <v>194784.9137911493</v>
      </c>
      <c r="AR34" s="6">
        <f t="shared" si="33"/>
        <v>2323329.6762011801</v>
      </c>
    </row>
    <row r="35" spans="1:44" x14ac:dyDescent="0.15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1:44" x14ac:dyDescent="0.15">
      <c r="A36" s="1" t="s">
        <v>91</v>
      </c>
      <c r="C36" s="6">
        <f t="shared" ref="C36:O36" si="34">C20-C34</f>
        <v>120955.86400000006</v>
      </c>
      <c r="D36" s="6">
        <f t="shared" si="34"/>
        <v>183012.46920000017</v>
      </c>
      <c r="E36" s="6">
        <f t="shared" si="34"/>
        <v>137959.94871085734</v>
      </c>
      <c r="F36" s="6">
        <f t="shared" si="34"/>
        <v>73897.086169058573</v>
      </c>
      <c r="G36" s="6">
        <f t="shared" si="34"/>
        <v>115623.52607013128</v>
      </c>
      <c r="H36" s="6">
        <f t="shared" si="34"/>
        <v>175577.9766460665</v>
      </c>
      <c r="I36" s="6">
        <f t="shared" si="34"/>
        <v>182579.61806393374</v>
      </c>
      <c r="J36" s="6">
        <f t="shared" si="34"/>
        <v>190483.57273868279</v>
      </c>
      <c r="K36" s="6">
        <f t="shared" si="34"/>
        <v>152691.21450084602</v>
      </c>
      <c r="L36" s="6">
        <f t="shared" si="34"/>
        <v>68066.110878823994</v>
      </c>
      <c r="M36" s="6">
        <f t="shared" si="34"/>
        <v>118425.91398937415</v>
      </c>
      <c r="N36" s="6">
        <f t="shared" si="34"/>
        <v>72088.363342249708</v>
      </c>
      <c r="O36" s="6">
        <f t="shared" si="34"/>
        <v>1591361.6643100202</v>
      </c>
      <c r="Q36" s="6">
        <f t="shared" ref="Q36:AD36" si="35">Q20-Q34</f>
        <v>133129.50147521088</v>
      </c>
      <c r="R36" s="6">
        <f t="shared" si="35"/>
        <v>244529.07761000015</v>
      </c>
      <c r="S36" s="6">
        <f t="shared" si="35"/>
        <v>168327.96313239768</v>
      </c>
      <c r="T36" s="6">
        <f t="shared" si="35"/>
        <v>74910.192478498822</v>
      </c>
      <c r="U36" s="6">
        <f t="shared" si="35"/>
        <v>84159.940164527274</v>
      </c>
      <c r="V36" s="6">
        <f t="shared" si="35"/>
        <v>48127.79236562681</v>
      </c>
      <c r="W36" s="6">
        <f t="shared" si="35"/>
        <v>753184.4672262629</v>
      </c>
      <c r="X36" s="6">
        <f t="shared" si="35"/>
        <v>104092.2927034465</v>
      </c>
      <c r="Y36" s="6">
        <f t="shared" si="35"/>
        <v>178630.61280016907</v>
      </c>
      <c r="Z36" s="6">
        <f t="shared" si="35"/>
        <v>234699.53806323354</v>
      </c>
      <c r="AA36" s="6">
        <f t="shared" si="35"/>
        <v>202213.63625062638</v>
      </c>
      <c r="AB36" s="6">
        <f t="shared" si="35"/>
        <v>173821.49182226424</v>
      </c>
      <c r="AC36" s="6">
        <f t="shared" si="35"/>
        <v>123973.92191939161</v>
      </c>
      <c r="AD36" s="6">
        <f t="shared" si="35"/>
        <v>2523800.4280116595</v>
      </c>
      <c r="AF36" s="6">
        <f t="shared" ref="AF36:AR36" si="36">AF20-AF34</f>
        <v>259177.23004584352</v>
      </c>
      <c r="AG36" s="6">
        <f t="shared" si="36"/>
        <v>373837.4470718269</v>
      </c>
      <c r="AH36" s="6">
        <f t="shared" si="36"/>
        <v>188287.48362676031</v>
      </c>
      <c r="AI36" s="6">
        <f t="shared" si="36"/>
        <v>111091.09142240658</v>
      </c>
      <c r="AJ36" s="6">
        <f t="shared" si="36"/>
        <v>126314.85066109209</v>
      </c>
      <c r="AK36" s="6">
        <f t="shared" si="36"/>
        <v>138243.86263106024</v>
      </c>
      <c r="AL36" s="6">
        <f t="shared" si="36"/>
        <v>189206.99737296515</v>
      </c>
      <c r="AM36" s="6">
        <f t="shared" si="36"/>
        <v>284137.18656407087</v>
      </c>
      <c r="AN36" s="6">
        <f t="shared" si="36"/>
        <v>284869.26199152716</v>
      </c>
      <c r="AO36" s="6">
        <f t="shared" si="36"/>
        <v>235737.29557947099</v>
      </c>
      <c r="AP36" s="6">
        <f t="shared" si="36"/>
        <v>186732.90674774355</v>
      </c>
      <c r="AQ36" s="6">
        <f t="shared" si="36"/>
        <v>104874.28703296333</v>
      </c>
      <c r="AR36" s="6">
        <f t="shared" si="36"/>
        <v>2482509.9007477309</v>
      </c>
    </row>
    <row r="37" spans="1:44" x14ac:dyDescent="0.15">
      <c r="A37" s="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x14ac:dyDescent="0.15">
      <c r="A38" s="1" t="s">
        <v>94</v>
      </c>
      <c r="C38" s="8">
        <f>0.06/12*('BS Actual &amp; Forecast'!C32+'BS Actual &amp; Forecast'!C37)</f>
        <v>8237.4750000000004</v>
      </c>
      <c r="D38" s="8">
        <f>0.06/12*('BS Actual &amp; Forecast'!D32+'BS Actual &amp; Forecast'!D37)</f>
        <v>8162.4750000000004</v>
      </c>
      <c r="E38" s="8">
        <f>0.06/12*('BS Actual &amp; Forecast'!E32+'BS Actual &amp; Forecast'!E37)</f>
        <v>8087.4750000000004</v>
      </c>
      <c r="F38" s="8">
        <f>0.06/12*('BS Actual &amp; Forecast'!F32+'BS Actual &amp; Forecast'!F37)</f>
        <v>8012.4750000000004</v>
      </c>
      <c r="G38" s="8">
        <f>0.06/12*('BS Actual &amp; Forecast'!G32+'BS Actual &amp; Forecast'!G37)</f>
        <v>7937.4750000000004</v>
      </c>
      <c r="H38" s="8">
        <f>0.06/12*('BS Actual &amp; Forecast'!H32+'BS Actual &amp; Forecast'!H37)</f>
        <v>7862.4750000000004</v>
      </c>
      <c r="I38" s="8">
        <f>0.06/12*('BS Actual &amp; Forecast'!I32+'BS Actual &amp; Forecast'!I37)</f>
        <v>7787.4750000000004</v>
      </c>
      <c r="J38" s="8">
        <f>0.06/12*('BS Actual &amp; Forecast'!J32+'BS Actual &amp; Forecast'!J37)</f>
        <v>7712.4750000000004</v>
      </c>
      <c r="K38" s="8">
        <f>0.06/12*('BS Actual &amp; Forecast'!K32+'BS Actual &amp; Forecast'!K37)</f>
        <v>7637.4750000000004</v>
      </c>
      <c r="L38" s="8">
        <f>0.06/12*('BS Actual &amp; Forecast'!L32+'BS Actual &amp; Forecast'!L37)</f>
        <v>7562.4750000000004</v>
      </c>
      <c r="M38" s="8">
        <f>0.06/12*('BS Actual &amp; Forecast'!M32+'BS Actual &amp; Forecast'!M37)</f>
        <v>7487.4750000000004</v>
      </c>
      <c r="N38" s="8">
        <f>0.06/12*('BS Actual &amp; Forecast'!N32+'BS Actual &amp; Forecast'!N37)</f>
        <v>7412.4750000000004</v>
      </c>
      <c r="O38" s="8">
        <f>SUM(C38:N38)</f>
        <v>93899.700000000012</v>
      </c>
      <c r="Q38" s="8">
        <f>0.06/12*('BS Actual &amp; Forecast'!Q32+'BS Actual &amp; Forecast'!Q37)</f>
        <v>7337.4750000000004</v>
      </c>
      <c r="R38" s="8">
        <f>0.06/12*('BS Actual &amp; Forecast'!R32+'BS Actual &amp; Forecast'!R37)</f>
        <v>7262.4750000000004</v>
      </c>
      <c r="S38" s="8">
        <f>0.06/12*('BS Actual &amp; Forecast'!S32+'BS Actual &amp; Forecast'!S37)</f>
        <v>7187.4750000000004</v>
      </c>
      <c r="T38" s="8">
        <f>0.06/12*('BS Actual &amp; Forecast'!T32+'BS Actual &amp; Forecast'!T37)</f>
        <v>7112.4750000000004</v>
      </c>
      <c r="U38" s="8">
        <f>0.06/12*('BS Actual &amp; Forecast'!U32+'BS Actual &amp; Forecast'!U37)</f>
        <v>7037.4750000000004</v>
      </c>
      <c r="V38" s="8">
        <f>0.06/12*('BS Actual &amp; Forecast'!V32+'BS Actual &amp; Forecast'!V37)</f>
        <v>6962.4750000000004</v>
      </c>
      <c r="W38" s="8">
        <f>SUM(Q38:V38)</f>
        <v>42899.85</v>
      </c>
      <c r="X38" s="8">
        <f>0.06/12*('BS Actual &amp; Forecast'!W32+'BS Actual &amp; Forecast'!W37)</f>
        <v>6887.4750000000004</v>
      </c>
      <c r="Y38" s="8">
        <f>0.06/12*('BS Actual &amp; Forecast'!X32+'BS Actual &amp; Forecast'!X37)</f>
        <v>6812.4750000000004</v>
      </c>
      <c r="Z38" s="8">
        <f>0.06/12*('BS Actual &amp; Forecast'!Y32+'BS Actual &amp; Forecast'!Y37)</f>
        <v>6737.4750000000004</v>
      </c>
      <c r="AA38" s="8">
        <f>0.06/12*('BS Actual &amp; Forecast'!Z32+'BS Actual &amp; Forecast'!Z37)</f>
        <v>6662.4750000000004</v>
      </c>
      <c r="AB38" s="8">
        <f>0.06/12*('BS Actual &amp; Forecast'!AA32+'BS Actual &amp; Forecast'!AA37)</f>
        <v>6587.4750000000004</v>
      </c>
      <c r="AC38" s="8">
        <f>0.06/12*('BS Actual &amp; Forecast'!AB32+'BS Actual &amp; Forecast'!AB37)</f>
        <v>6512.4750000000004</v>
      </c>
      <c r="AD38" s="8">
        <f>SUM(Q38:AC38)</f>
        <v>125999.55000000003</v>
      </c>
      <c r="AF38" s="8">
        <f>0.06/12*('BS Actual &amp; Forecast'!AE32+'BS Actual &amp; Forecast'!AE37)</f>
        <v>6437.4750000000004</v>
      </c>
      <c r="AG38" s="8">
        <f>0.06/12*('BS Actual &amp; Forecast'!AF32+'BS Actual &amp; Forecast'!AF37)</f>
        <v>6362.4750000000004</v>
      </c>
      <c r="AH38" s="8">
        <f>0.06/12*('BS Actual &amp; Forecast'!AG32+'BS Actual &amp; Forecast'!AG37)</f>
        <v>6287.4750000000004</v>
      </c>
      <c r="AI38" s="8">
        <f>0.06/12*('BS Actual &amp; Forecast'!AH32+'BS Actual &amp; Forecast'!AH37)</f>
        <v>6212.4750000000004</v>
      </c>
      <c r="AJ38" s="8">
        <f>0.06/12*('BS Actual &amp; Forecast'!AI32+'BS Actual &amp; Forecast'!AI37)</f>
        <v>6137.4750000000004</v>
      </c>
      <c r="AK38" s="8">
        <f>0.06/12*('BS Actual &amp; Forecast'!AJ32+'BS Actual &amp; Forecast'!AJ37)</f>
        <v>6062.4750000000004</v>
      </c>
      <c r="AL38" s="8">
        <f>0.06/12*('BS Actual &amp; Forecast'!AK32+'BS Actual &amp; Forecast'!AK37)</f>
        <v>5052.0625</v>
      </c>
      <c r="AM38" s="8">
        <f>0.06/12*('BS Actual &amp; Forecast'!AL32+'BS Actual &amp; Forecast'!AL37)</f>
        <v>4041.65</v>
      </c>
      <c r="AN38" s="8">
        <f>0.06/12*('BS Actual &amp; Forecast'!AM32+'BS Actual &amp; Forecast'!AM37)</f>
        <v>3031.2375000000002</v>
      </c>
      <c r="AO38" s="8">
        <f>0.06/12*('BS Actual &amp; Forecast'!AN32+'BS Actual &amp; Forecast'!AN37)</f>
        <v>2020.825</v>
      </c>
      <c r="AP38" s="8">
        <f>0.06/12*('BS Actual &amp; Forecast'!AO32+'BS Actual &amp; Forecast'!AO37)</f>
        <v>1010.4125</v>
      </c>
      <c r="AQ38" s="8">
        <f>0.06/12*('BS Actual &amp; Forecast'!AP32+'BS Actual &amp; Forecast'!AP37)</f>
        <v>0</v>
      </c>
      <c r="AR38" s="8">
        <f>SUM(AF38:AQ38)</f>
        <v>52656.037499999999</v>
      </c>
    </row>
    <row r="39" spans="1:44" x14ac:dyDescent="0.15">
      <c r="A39" s="1" t="s">
        <v>95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f>SUM(C39:N39)</f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f>SUM(K39:V39)</f>
        <v>0</v>
      </c>
      <c r="X39" s="6"/>
      <c r="Y39" s="6"/>
      <c r="Z39" s="6"/>
      <c r="AA39" s="6"/>
      <c r="AB39" s="6"/>
      <c r="AC39" s="6"/>
      <c r="AD39" s="6">
        <f>SUM(Q39:AC39)</f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f>SUM(AF39:AQ39)</f>
        <v>0</v>
      </c>
    </row>
    <row r="41" spans="1:44" x14ac:dyDescent="0.15">
      <c r="A41" s="1" t="s">
        <v>18</v>
      </c>
      <c r="C41" s="6">
        <f>SUM(C38:C39)</f>
        <v>8237.4750000000004</v>
      </c>
      <c r="D41" s="6">
        <f t="shared" ref="D41:O41" si="37">SUM(D38:D39)</f>
        <v>8162.4750000000004</v>
      </c>
      <c r="E41" s="6">
        <f t="shared" si="37"/>
        <v>8087.4750000000004</v>
      </c>
      <c r="F41" s="6">
        <f t="shared" si="37"/>
        <v>8012.4750000000004</v>
      </c>
      <c r="G41" s="6">
        <f t="shared" si="37"/>
        <v>7937.4750000000004</v>
      </c>
      <c r="H41" s="6">
        <f t="shared" si="37"/>
        <v>7862.4750000000004</v>
      </c>
      <c r="I41" s="6">
        <f t="shared" si="37"/>
        <v>7787.4750000000004</v>
      </c>
      <c r="J41" s="6">
        <f t="shared" si="37"/>
        <v>7712.4750000000004</v>
      </c>
      <c r="K41" s="6">
        <f t="shared" si="37"/>
        <v>7637.4750000000004</v>
      </c>
      <c r="L41" s="6">
        <f t="shared" si="37"/>
        <v>7562.4750000000004</v>
      </c>
      <c r="M41" s="6">
        <f t="shared" si="37"/>
        <v>7487.4750000000004</v>
      </c>
      <c r="N41" s="6">
        <f t="shared" si="37"/>
        <v>7412.4750000000004</v>
      </c>
      <c r="O41" s="6">
        <f t="shared" si="37"/>
        <v>93899.700000000012</v>
      </c>
      <c r="Q41" s="6">
        <f>SUM(Q38:Q39)</f>
        <v>7337.4750000000004</v>
      </c>
      <c r="R41" s="6">
        <f t="shared" ref="R41:AD41" si="38">SUM(R38:R39)</f>
        <v>7262.4750000000004</v>
      </c>
      <c r="S41" s="6">
        <f t="shared" si="38"/>
        <v>7187.4750000000004</v>
      </c>
      <c r="T41" s="6">
        <f t="shared" si="38"/>
        <v>7112.4750000000004</v>
      </c>
      <c r="U41" s="6">
        <f t="shared" si="38"/>
        <v>7037.4750000000004</v>
      </c>
      <c r="V41" s="6">
        <f t="shared" si="38"/>
        <v>6962.4750000000004</v>
      </c>
      <c r="W41" s="6">
        <f t="shared" si="38"/>
        <v>42899.85</v>
      </c>
      <c r="X41" s="6">
        <f t="shared" si="38"/>
        <v>6887.4750000000004</v>
      </c>
      <c r="Y41" s="6">
        <f t="shared" si="38"/>
        <v>6812.4750000000004</v>
      </c>
      <c r="Z41" s="6">
        <f t="shared" si="38"/>
        <v>6737.4750000000004</v>
      </c>
      <c r="AA41" s="6">
        <f t="shared" si="38"/>
        <v>6662.4750000000004</v>
      </c>
      <c r="AB41" s="6">
        <f t="shared" si="38"/>
        <v>6587.4750000000004</v>
      </c>
      <c r="AC41" s="6">
        <f t="shared" si="38"/>
        <v>6512.4750000000004</v>
      </c>
      <c r="AD41" s="6">
        <f t="shared" si="38"/>
        <v>125999.55000000003</v>
      </c>
      <c r="AF41" s="6">
        <f>SUM(AF38:AF39)</f>
        <v>6437.4750000000004</v>
      </c>
      <c r="AG41" s="6">
        <f t="shared" ref="AG41:AR41" si="39">SUM(AG38:AG39)</f>
        <v>6362.4750000000004</v>
      </c>
      <c r="AH41" s="6">
        <f t="shared" si="39"/>
        <v>6287.4750000000004</v>
      </c>
      <c r="AI41" s="6">
        <f t="shared" si="39"/>
        <v>6212.4750000000004</v>
      </c>
      <c r="AJ41" s="6">
        <f t="shared" si="39"/>
        <v>6137.4750000000004</v>
      </c>
      <c r="AK41" s="6">
        <f t="shared" si="39"/>
        <v>6062.4750000000004</v>
      </c>
      <c r="AL41" s="6">
        <f t="shared" si="39"/>
        <v>5052.0625</v>
      </c>
      <c r="AM41" s="6">
        <f t="shared" si="39"/>
        <v>4041.65</v>
      </c>
      <c r="AN41" s="6">
        <f t="shared" si="39"/>
        <v>3031.2375000000002</v>
      </c>
      <c r="AO41" s="6">
        <f t="shared" si="39"/>
        <v>2020.825</v>
      </c>
      <c r="AP41" s="6">
        <f t="shared" si="39"/>
        <v>1010.4125</v>
      </c>
      <c r="AQ41" s="6">
        <f t="shared" si="39"/>
        <v>0</v>
      </c>
      <c r="AR41" s="6">
        <f t="shared" si="39"/>
        <v>52656.037499999999</v>
      </c>
    </row>
    <row r="43" spans="1:44" x14ac:dyDescent="0.15">
      <c r="A43" s="1" t="s">
        <v>53</v>
      </c>
      <c r="C43" s="30">
        <f>C36-C41</f>
        <v>112718.38900000005</v>
      </c>
      <c r="D43" s="30">
        <f t="shared" ref="D43:O43" si="40">D36-D41</f>
        <v>174849.99420000016</v>
      </c>
      <c r="E43" s="30">
        <f t="shared" si="40"/>
        <v>129872.47371085733</v>
      </c>
      <c r="F43" s="30">
        <f t="shared" si="40"/>
        <v>65884.611169058568</v>
      </c>
      <c r="G43" s="30">
        <f t="shared" si="40"/>
        <v>107686.05107013127</v>
      </c>
      <c r="H43" s="30">
        <f t="shared" si="40"/>
        <v>167715.50164606649</v>
      </c>
      <c r="I43" s="30">
        <f t="shared" si="40"/>
        <v>174792.14306393373</v>
      </c>
      <c r="J43" s="30">
        <f t="shared" si="40"/>
        <v>182771.09773868279</v>
      </c>
      <c r="K43" s="30">
        <f t="shared" si="40"/>
        <v>145053.73950084602</v>
      </c>
      <c r="L43" s="30">
        <f t="shared" si="40"/>
        <v>60503.635878823996</v>
      </c>
      <c r="M43" s="30">
        <f t="shared" si="40"/>
        <v>110938.43898937415</v>
      </c>
      <c r="N43" s="30">
        <f t="shared" si="40"/>
        <v>64675.888342249709</v>
      </c>
      <c r="O43" s="30">
        <f t="shared" si="40"/>
        <v>1497461.9643100202</v>
      </c>
      <c r="Q43" s="30">
        <f>Q36-Q41</f>
        <v>125792.02647521088</v>
      </c>
      <c r="R43" s="30">
        <f t="shared" ref="R43:AD43" si="41">R36-R41</f>
        <v>237266.60261000015</v>
      </c>
      <c r="S43" s="30">
        <f t="shared" si="41"/>
        <v>161140.48813239767</v>
      </c>
      <c r="T43" s="30">
        <f t="shared" si="41"/>
        <v>67797.717478498816</v>
      </c>
      <c r="U43" s="30">
        <f t="shared" si="41"/>
        <v>77122.465164527268</v>
      </c>
      <c r="V43" s="30">
        <f t="shared" si="41"/>
        <v>41165.317365626812</v>
      </c>
      <c r="W43" s="30">
        <f t="shared" si="41"/>
        <v>710284.61722626293</v>
      </c>
      <c r="X43" s="30">
        <f t="shared" si="41"/>
        <v>97204.81770344649</v>
      </c>
      <c r="Y43" s="30">
        <f t="shared" si="41"/>
        <v>171818.13780016906</v>
      </c>
      <c r="Z43" s="30">
        <f t="shared" si="41"/>
        <v>227962.06306323354</v>
      </c>
      <c r="AA43" s="30">
        <f t="shared" si="41"/>
        <v>195551.16125062638</v>
      </c>
      <c r="AB43" s="30">
        <f t="shared" si="41"/>
        <v>167234.01682226424</v>
      </c>
      <c r="AC43" s="30">
        <f t="shared" si="41"/>
        <v>117461.4469193916</v>
      </c>
      <c r="AD43" s="30">
        <f t="shared" si="41"/>
        <v>2397800.8780116597</v>
      </c>
      <c r="AF43" s="30">
        <f>AF36-AF41</f>
        <v>252739.75504584351</v>
      </c>
      <c r="AG43" s="30">
        <f t="shared" ref="AG43:AR43" si="42">AG36-AG41</f>
        <v>367474.97207182692</v>
      </c>
      <c r="AH43" s="30">
        <f t="shared" si="42"/>
        <v>182000.0086267603</v>
      </c>
      <c r="AI43" s="30">
        <f t="shared" si="42"/>
        <v>104878.61642240657</v>
      </c>
      <c r="AJ43" s="30">
        <f t="shared" si="42"/>
        <v>120177.37566109208</v>
      </c>
      <c r="AK43" s="30">
        <f t="shared" si="42"/>
        <v>132181.38763106024</v>
      </c>
      <c r="AL43" s="30">
        <f t="shared" si="42"/>
        <v>184154.93487296515</v>
      </c>
      <c r="AM43" s="30">
        <f t="shared" si="42"/>
        <v>280095.53656407085</v>
      </c>
      <c r="AN43" s="30">
        <f t="shared" si="42"/>
        <v>281838.02449152718</v>
      </c>
      <c r="AO43" s="30">
        <f t="shared" si="42"/>
        <v>233716.47057947097</v>
      </c>
      <c r="AP43" s="30">
        <f t="shared" si="42"/>
        <v>185722.49424774354</v>
      </c>
      <c r="AQ43" s="30">
        <f t="shared" si="42"/>
        <v>104874.28703296333</v>
      </c>
      <c r="AR43" s="30">
        <f t="shared" si="42"/>
        <v>2429853.8632477308</v>
      </c>
    </row>
    <row r="44" spans="1:44" x14ac:dyDescent="0.15">
      <c r="A44" t="s">
        <v>206</v>
      </c>
      <c r="C44" s="34">
        <f t="shared" ref="C44:O44" si="43">+C43/C16</f>
        <v>5.8004909800870322E-2</v>
      </c>
      <c r="D44" s="34">
        <f t="shared" si="43"/>
        <v>8.1798044200979345E-2</v>
      </c>
      <c r="E44" s="34">
        <f t="shared" si="43"/>
        <v>5.9565424130937301E-2</v>
      </c>
      <c r="F44" s="34">
        <f t="shared" si="43"/>
        <v>3.8134070395386591E-2</v>
      </c>
      <c r="G44" s="34">
        <f t="shared" si="43"/>
        <v>5.4191048369210085E-2</v>
      </c>
      <c r="H44" s="34">
        <f t="shared" si="43"/>
        <v>7.6727071398329419E-2</v>
      </c>
      <c r="I44" s="34">
        <f t="shared" si="43"/>
        <v>8.4173176782339529E-2</v>
      </c>
      <c r="J44" s="34">
        <f t="shared" si="43"/>
        <v>7.3684148081261627E-2</v>
      </c>
      <c r="K44" s="34">
        <f t="shared" si="43"/>
        <v>6.7490149587311449E-2</v>
      </c>
      <c r="L44" s="34">
        <f t="shared" si="43"/>
        <v>3.1989707041191882E-2</v>
      </c>
      <c r="M44" s="34">
        <f t="shared" si="43"/>
        <v>6.1742929927035027E-2</v>
      </c>
      <c r="N44" s="34">
        <f t="shared" si="43"/>
        <v>4.3505366940785696E-2</v>
      </c>
      <c r="O44" s="34">
        <f t="shared" si="43"/>
        <v>6.2282773757850261E-2</v>
      </c>
      <c r="Q44" s="34">
        <f t="shared" ref="Q44:AD44" si="44">+Q43/Q16</f>
        <v>5.8812237168767788E-2</v>
      </c>
      <c r="R44" s="34">
        <f t="shared" si="44"/>
        <v>9.2867965937090791E-2</v>
      </c>
      <c r="S44" s="34">
        <f t="shared" si="44"/>
        <v>7.279120544151392E-2</v>
      </c>
      <c r="T44" s="34">
        <f t="shared" si="44"/>
        <v>3.4802195098091314E-2</v>
      </c>
      <c r="U44" s="34">
        <f t="shared" si="44"/>
        <v>4.1672433495044486E-2</v>
      </c>
      <c r="V44" s="34">
        <f t="shared" si="44"/>
        <v>2.6884048900543283E-2</v>
      </c>
      <c r="W44" s="34">
        <f t="shared" si="44"/>
        <v>5.8041742003637084E-2</v>
      </c>
      <c r="X44" s="34">
        <f t="shared" si="44"/>
        <v>5.0793373281339857E-2</v>
      </c>
      <c r="Y44" s="34">
        <f t="shared" si="44"/>
        <v>7.0987098495118736E-2</v>
      </c>
      <c r="Z44" s="34">
        <f t="shared" si="44"/>
        <v>8.1296991334569177E-2</v>
      </c>
      <c r="AA44" s="34">
        <f t="shared" si="44"/>
        <v>7.0266772142626319E-2</v>
      </c>
      <c r="AB44" s="34">
        <f t="shared" si="44"/>
        <v>6.4545288265763084E-2</v>
      </c>
      <c r="AC44" s="34">
        <f t="shared" si="44"/>
        <v>5.2303064233028475E-2</v>
      </c>
      <c r="AD44" s="34">
        <f t="shared" si="44"/>
        <v>6.1117108878958444E-2</v>
      </c>
      <c r="AF44" s="34">
        <f t="shared" ref="AF44:AR44" si="45">+AF43/AF16</f>
        <v>7.822030411759949E-2</v>
      </c>
      <c r="AG44" s="34">
        <f t="shared" si="45"/>
        <v>9.0768094677157171E-2</v>
      </c>
      <c r="AH44" s="34">
        <f t="shared" si="45"/>
        <v>7.0950571498478998E-2</v>
      </c>
      <c r="AI44" s="34">
        <f t="shared" si="45"/>
        <v>5.2268650711675357E-2</v>
      </c>
      <c r="AJ44" s="34">
        <f t="shared" si="45"/>
        <v>5.6409048070506354E-2</v>
      </c>
      <c r="AK44" s="34">
        <f t="shared" si="45"/>
        <v>5.9864347758178241E-2</v>
      </c>
      <c r="AL44" s="34">
        <f t="shared" si="45"/>
        <v>7.2192427120732122E-2</v>
      </c>
      <c r="AM44" s="34">
        <f t="shared" si="45"/>
        <v>8.7927363322177085E-2</v>
      </c>
      <c r="AN44" s="34">
        <f t="shared" si="45"/>
        <v>8.8289399351741057E-2</v>
      </c>
      <c r="AO44" s="34">
        <f t="shared" si="45"/>
        <v>8.153455383085921E-2</v>
      </c>
      <c r="AP44" s="34">
        <f t="shared" si="45"/>
        <v>7.3072927283451411E-2</v>
      </c>
      <c r="AQ44" s="34">
        <f t="shared" si="45"/>
        <v>5.2496779714025908E-2</v>
      </c>
      <c r="AR44" s="34">
        <f t="shared" si="45"/>
        <v>7.4709014556590181E-2</v>
      </c>
    </row>
    <row r="45" spans="1:44" x14ac:dyDescent="0.15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</row>
    <row r="46" spans="1:44" x14ac:dyDescent="0.15">
      <c r="A46" s="29" t="s">
        <v>32</v>
      </c>
      <c r="C46" s="23">
        <f t="shared" ref="C46:O46" si="46">+C43+C41+C31</f>
        <v>126430.86400000006</v>
      </c>
      <c r="D46" s="23">
        <f t="shared" si="46"/>
        <v>188487.46920000017</v>
      </c>
      <c r="E46" s="23">
        <f t="shared" si="46"/>
        <v>143434.94871085734</v>
      </c>
      <c r="F46" s="23">
        <f t="shared" si="46"/>
        <v>79372.086169058573</v>
      </c>
      <c r="G46" s="23">
        <f t="shared" si="46"/>
        <v>121098.52607013128</v>
      </c>
      <c r="H46" s="23">
        <f t="shared" si="46"/>
        <v>181052.9766460665</v>
      </c>
      <c r="I46" s="23">
        <f t="shared" si="46"/>
        <v>188054.61806393374</v>
      </c>
      <c r="J46" s="23">
        <f t="shared" si="46"/>
        <v>195958.57273868279</v>
      </c>
      <c r="K46" s="23">
        <f t="shared" si="46"/>
        <v>158166.21450084602</v>
      </c>
      <c r="L46" s="23">
        <f t="shared" si="46"/>
        <v>73541.110878823994</v>
      </c>
      <c r="M46" s="23">
        <f t="shared" si="46"/>
        <v>123900.91398937415</v>
      </c>
      <c r="N46" s="23">
        <f t="shared" si="46"/>
        <v>82438.363342249708</v>
      </c>
      <c r="O46" s="48">
        <f t="shared" si="46"/>
        <v>1661936.6643100202</v>
      </c>
      <c r="P46" s="48"/>
      <c r="Q46" s="48">
        <f t="shared" ref="Q46:AD46" si="47">+Q43+Q41+Q31</f>
        <v>138979.50147521088</v>
      </c>
      <c r="R46" s="48">
        <f t="shared" si="47"/>
        <v>250379.07761000015</v>
      </c>
      <c r="S46" s="48">
        <f t="shared" si="47"/>
        <v>174177.96313239768</v>
      </c>
      <c r="T46" s="48">
        <f t="shared" si="47"/>
        <v>80760.192478498822</v>
      </c>
      <c r="U46" s="48">
        <f t="shared" si="47"/>
        <v>90009.940164527274</v>
      </c>
      <c r="V46" s="48">
        <f t="shared" si="47"/>
        <v>53977.79236562681</v>
      </c>
      <c r="W46" s="48">
        <f t="shared" si="47"/>
        <v>788284.4672262629</v>
      </c>
      <c r="X46" s="23">
        <f t="shared" si="47"/>
        <v>109942.2927034465</v>
      </c>
      <c r="Y46" s="23">
        <f t="shared" si="47"/>
        <v>184480.61280016907</v>
      </c>
      <c r="Z46" s="23">
        <f t="shared" si="47"/>
        <v>240549.53806323354</v>
      </c>
      <c r="AA46" s="23">
        <f t="shared" si="47"/>
        <v>208063.63625062638</v>
      </c>
      <c r="AB46" s="23">
        <f t="shared" si="47"/>
        <v>179671.49182226424</v>
      </c>
      <c r="AC46" s="23">
        <f t="shared" si="47"/>
        <v>129823.92191939161</v>
      </c>
      <c r="AD46" s="23">
        <f t="shared" si="47"/>
        <v>2629100.4280116595</v>
      </c>
      <c r="AF46" s="23">
        <f t="shared" ref="AF46:AR46" si="48">+AF43+AF41+AF31</f>
        <v>265177.23004584352</v>
      </c>
      <c r="AG46" s="23">
        <f t="shared" si="48"/>
        <v>379837.4470718269</v>
      </c>
      <c r="AH46" s="23">
        <f t="shared" si="48"/>
        <v>194287.48362676031</v>
      </c>
      <c r="AI46" s="23">
        <f t="shared" si="48"/>
        <v>117091.09142240658</v>
      </c>
      <c r="AJ46" s="23">
        <f t="shared" si="48"/>
        <v>132314.85066109209</v>
      </c>
      <c r="AK46" s="23">
        <f t="shared" si="48"/>
        <v>144243.86263106024</v>
      </c>
      <c r="AL46" s="23">
        <f t="shared" si="48"/>
        <v>195206.99737296515</v>
      </c>
      <c r="AM46" s="23">
        <f t="shared" si="48"/>
        <v>290137.18656407087</v>
      </c>
      <c r="AN46" s="23">
        <f t="shared" si="48"/>
        <v>290869.26199152716</v>
      </c>
      <c r="AO46" s="23">
        <f t="shared" si="48"/>
        <v>241737.29557947099</v>
      </c>
      <c r="AP46" s="23">
        <f t="shared" si="48"/>
        <v>192732.90674774355</v>
      </c>
      <c r="AQ46" s="23">
        <f t="shared" si="48"/>
        <v>110874.28703296333</v>
      </c>
      <c r="AR46" s="23">
        <f t="shared" si="48"/>
        <v>2554509.9007477309</v>
      </c>
    </row>
  </sheetData>
  <pageMargins left="0.75" right="0.75" top="1" bottom="1" header="0.5" footer="0.5"/>
  <pageSetup scale="62" orientation="portrait"/>
  <headerFooter alignWithMargins="0"/>
  <colBreaks count="1" manualBreakCount="1">
    <brk id="3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Q73"/>
  <sheetViews>
    <sheetView workbookViewId="0">
      <selection activeCell="J61" sqref="J61"/>
    </sheetView>
  </sheetViews>
  <sheetFormatPr baseColWidth="10" defaultColWidth="8.83203125" defaultRowHeight="13" outlineLevelCol="1" x14ac:dyDescent="0.15"/>
  <cols>
    <col min="1" max="1" width="26" customWidth="1"/>
    <col min="2" max="2" width="8.5" customWidth="1"/>
    <col min="3" max="4" width="11.83203125" bestFit="1" customWidth="1" outlineLevel="1"/>
    <col min="5" max="7" width="12.83203125" bestFit="1" customWidth="1" outlineLevel="1"/>
    <col min="8" max="8" width="14.1640625" bestFit="1" customWidth="1" outlineLevel="1"/>
    <col min="9" max="14" width="12.83203125" bestFit="1" customWidth="1" outlineLevel="1"/>
    <col min="15" max="15" width="12.83203125" bestFit="1" customWidth="1"/>
    <col min="16" max="16" width="2" customWidth="1"/>
    <col min="17" max="24" width="9.33203125" bestFit="1" customWidth="1" outlineLevel="1"/>
    <col min="25" max="28" width="10.33203125" bestFit="1" customWidth="1" outlineLevel="1"/>
    <col min="29" max="29" width="11.5" bestFit="1" customWidth="1"/>
    <col min="30" max="30" width="2" customWidth="1"/>
  </cols>
  <sheetData>
    <row r="1" spans="1:43" x14ac:dyDescent="0.15">
      <c r="A1" s="1" t="e">
        <f>+#REF!</f>
        <v>#REF!</v>
      </c>
    </row>
    <row r="2" spans="1:43" ht="20" x14ac:dyDescent="0.2">
      <c r="A2" s="2" t="s">
        <v>0</v>
      </c>
      <c r="H2" s="38" t="s">
        <v>82</v>
      </c>
      <c r="V2" s="38" t="s">
        <v>84</v>
      </c>
    </row>
    <row r="3" spans="1:43" x14ac:dyDescent="0.15">
      <c r="A3" s="1"/>
    </row>
    <row r="4" spans="1:43" ht="14" x14ac:dyDescent="0.2">
      <c r="A4" s="1"/>
      <c r="C4" s="27" t="s">
        <v>51</v>
      </c>
      <c r="D4" s="27" t="s">
        <v>51</v>
      </c>
      <c r="E4" s="27" t="s">
        <v>51</v>
      </c>
      <c r="F4" s="27" t="s">
        <v>51</v>
      </c>
      <c r="G4" s="27" t="s">
        <v>51</v>
      </c>
      <c r="H4" s="27" t="s">
        <v>51</v>
      </c>
      <c r="I4" s="27" t="s">
        <v>51</v>
      </c>
    </row>
    <row r="5" spans="1:43" ht="14" x14ac:dyDescent="0.2">
      <c r="C5" s="27"/>
      <c r="D5" s="27"/>
      <c r="E5" s="27"/>
      <c r="F5" s="27"/>
      <c r="G5" s="27"/>
      <c r="H5" s="27"/>
      <c r="I5" s="27"/>
    </row>
    <row r="6" spans="1:43" x14ac:dyDescent="0.15">
      <c r="A6" s="3"/>
      <c r="C6" s="25" t="s">
        <v>54</v>
      </c>
      <c r="D6" s="25" t="s">
        <v>54</v>
      </c>
      <c r="E6" s="25" t="s">
        <v>54</v>
      </c>
      <c r="F6" s="25" t="s">
        <v>54</v>
      </c>
      <c r="G6" s="25" t="s">
        <v>54</v>
      </c>
      <c r="H6" s="25" t="s">
        <v>54</v>
      </c>
      <c r="I6" s="25" t="s">
        <v>54</v>
      </c>
      <c r="J6" s="25" t="s">
        <v>54</v>
      </c>
      <c r="K6" s="25" t="s">
        <v>54</v>
      </c>
      <c r="L6" s="25" t="s">
        <v>54</v>
      </c>
      <c r="M6" s="25" t="s">
        <v>54</v>
      </c>
      <c r="N6" s="25" t="s">
        <v>54</v>
      </c>
      <c r="O6" s="25" t="s">
        <v>54</v>
      </c>
      <c r="Q6" s="25" t="s">
        <v>54</v>
      </c>
      <c r="R6" s="25" t="s">
        <v>54</v>
      </c>
      <c r="S6" s="25" t="s">
        <v>54</v>
      </c>
      <c r="T6" s="25" t="s">
        <v>54</v>
      </c>
      <c r="U6" s="25" t="s">
        <v>54</v>
      </c>
      <c r="V6" s="25" t="s">
        <v>54</v>
      </c>
      <c r="W6" s="25" t="s">
        <v>54</v>
      </c>
      <c r="X6" s="25" t="s">
        <v>54</v>
      </c>
      <c r="Y6" s="25" t="s">
        <v>54</v>
      </c>
      <c r="Z6" s="25" t="s">
        <v>54</v>
      </c>
      <c r="AA6" s="25" t="s">
        <v>54</v>
      </c>
      <c r="AB6" s="25" t="s">
        <v>54</v>
      </c>
      <c r="AC6" s="25" t="s">
        <v>54</v>
      </c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4" t="s">
        <v>84</v>
      </c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  <c r="AQ7" s="4" t="s">
        <v>90</v>
      </c>
    </row>
    <row r="8" spans="1:43" x14ac:dyDescent="0.1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x14ac:dyDescent="0.15">
      <c r="A9" s="1" t="s">
        <v>13</v>
      </c>
      <c r="C9" s="5">
        <f>+'POM Actual &amp; Forecast'!C9</f>
        <v>1200000</v>
      </c>
      <c r="D9" s="5" t="e">
        <f t="shared" ref="D9:N9" si="0">+C70</f>
        <v>#REF!</v>
      </c>
      <c r="E9" s="5" t="e">
        <f t="shared" si="0"/>
        <v>#REF!</v>
      </c>
      <c r="F9" s="5" t="e">
        <f t="shared" si="0"/>
        <v>#REF!</v>
      </c>
      <c r="G9" s="5" t="e">
        <f t="shared" si="0"/>
        <v>#REF!</v>
      </c>
      <c r="H9" s="5" t="e">
        <f t="shared" si="0"/>
        <v>#REF!</v>
      </c>
      <c r="I9" s="5" t="e">
        <f t="shared" si="0"/>
        <v>#REF!</v>
      </c>
      <c r="J9" s="5" t="e">
        <f t="shared" si="0"/>
        <v>#REF!</v>
      </c>
      <c r="K9" s="5" t="e">
        <f t="shared" si="0"/>
        <v>#REF!</v>
      </c>
      <c r="L9" s="5" t="e">
        <f t="shared" si="0"/>
        <v>#REF!</v>
      </c>
      <c r="M9" s="5" t="e">
        <f t="shared" si="0"/>
        <v>#REF!</v>
      </c>
      <c r="N9" s="5" t="e">
        <f t="shared" si="0"/>
        <v>#REF!</v>
      </c>
      <c r="O9" s="5">
        <f>+C9</f>
        <v>1200000</v>
      </c>
      <c r="Q9" s="5" t="e">
        <f>+O70</f>
        <v>#REF!</v>
      </c>
      <c r="R9" s="5" t="e">
        <f t="shared" ref="R9:AB9" si="1">+Q70</f>
        <v>#REF!</v>
      </c>
      <c r="S9" s="5" t="e">
        <f t="shared" si="1"/>
        <v>#REF!</v>
      </c>
      <c r="T9" s="5" t="e">
        <f t="shared" si="1"/>
        <v>#REF!</v>
      </c>
      <c r="U9" s="5" t="e">
        <f t="shared" si="1"/>
        <v>#REF!</v>
      </c>
      <c r="V9" s="5" t="e">
        <f t="shared" si="1"/>
        <v>#REF!</v>
      </c>
      <c r="W9" s="5" t="e">
        <f t="shared" si="1"/>
        <v>#REF!</v>
      </c>
      <c r="X9" s="5" t="e">
        <f t="shared" si="1"/>
        <v>#REF!</v>
      </c>
      <c r="Y9" s="5" t="e">
        <f t="shared" si="1"/>
        <v>#REF!</v>
      </c>
      <c r="Z9" s="5" t="e">
        <f t="shared" si="1"/>
        <v>#REF!</v>
      </c>
      <c r="AA9" s="5" t="e">
        <f t="shared" si="1"/>
        <v>#REF!</v>
      </c>
      <c r="AB9" s="5" t="e">
        <f t="shared" si="1"/>
        <v>#REF!</v>
      </c>
      <c r="AC9" s="5" t="e">
        <f>+Q9</f>
        <v>#REF!</v>
      </c>
      <c r="AE9" s="5" t="e">
        <f>+AC70</f>
        <v>#REF!</v>
      </c>
      <c r="AF9" s="5" t="e">
        <f t="shared" ref="AF9:AP9" si="2">+AE70</f>
        <v>#REF!</v>
      </c>
      <c r="AG9" s="5" t="e">
        <f t="shared" si="2"/>
        <v>#REF!</v>
      </c>
      <c r="AH9" s="5" t="e">
        <f t="shared" si="2"/>
        <v>#REF!</v>
      </c>
      <c r="AI9" s="5" t="e">
        <f t="shared" si="2"/>
        <v>#REF!</v>
      </c>
      <c r="AJ9" s="5" t="e">
        <f t="shared" si="2"/>
        <v>#REF!</v>
      </c>
      <c r="AK9" s="5" t="e">
        <f t="shared" si="2"/>
        <v>#REF!</v>
      </c>
      <c r="AL9" s="5" t="e">
        <f t="shared" si="2"/>
        <v>#REF!</v>
      </c>
      <c r="AM9" s="5" t="e">
        <f t="shared" si="2"/>
        <v>#REF!</v>
      </c>
      <c r="AN9" s="5" t="e">
        <f t="shared" si="2"/>
        <v>#REF!</v>
      </c>
      <c r="AO9" s="5" t="e">
        <f t="shared" si="2"/>
        <v>#REF!</v>
      </c>
      <c r="AP9" s="5" t="e">
        <f t="shared" si="2"/>
        <v>#REF!</v>
      </c>
      <c r="AQ9" s="5" t="e">
        <f>+AE9</f>
        <v>#REF!</v>
      </c>
    </row>
    <row r="10" spans="1:43" x14ac:dyDescent="0.1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15">
      <c r="A11" s="7" t="s">
        <v>14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</row>
    <row r="12" spans="1:43" hidden="1" x14ac:dyDescent="0.15">
      <c r="A12" s="9" t="s">
        <v>15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43" hidden="1" x14ac:dyDescent="0.15">
      <c r="A13" s="1" t="s">
        <v>16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>
        <f>SUM(C13:N13)</f>
        <v>0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>
        <f>SUM(Q13:AB13)</f>
        <v>0</v>
      </c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>
        <f>SUM(AE13:AP13)</f>
        <v>0</v>
      </c>
    </row>
    <row r="14" spans="1:43" hidden="1" x14ac:dyDescent="0.15">
      <c r="A14" s="1" t="s">
        <v>17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f>SUM(C14:N14)</f>
        <v>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>
        <f>SUM(Q14:AB14)</f>
        <v>0</v>
      </c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>
        <f>SUM(AE14:AP14)</f>
        <v>0</v>
      </c>
    </row>
    <row r="15" spans="1:43" hidden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idden="1" x14ac:dyDescent="0.15">
      <c r="A16" s="1" t="s">
        <v>18</v>
      </c>
      <c r="C16" s="11">
        <f t="shared" ref="C16:O16" si="3">SUM(C13:C14)</f>
        <v>0</v>
      </c>
      <c r="D16" s="11">
        <f t="shared" si="3"/>
        <v>0</v>
      </c>
      <c r="E16" s="11">
        <f t="shared" si="3"/>
        <v>0</v>
      </c>
      <c r="F16" s="11">
        <f t="shared" si="3"/>
        <v>0</v>
      </c>
      <c r="G16" s="11">
        <f t="shared" si="3"/>
        <v>0</v>
      </c>
      <c r="H16" s="11">
        <f t="shared" si="3"/>
        <v>0</v>
      </c>
      <c r="I16" s="11">
        <f t="shared" si="3"/>
        <v>0</v>
      </c>
      <c r="J16" s="11">
        <f t="shared" si="3"/>
        <v>0</v>
      </c>
      <c r="K16" s="11">
        <f t="shared" si="3"/>
        <v>0</v>
      </c>
      <c r="L16" s="11">
        <f t="shared" si="3"/>
        <v>0</v>
      </c>
      <c r="M16" s="11">
        <f t="shared" si="3"/>
        <v>0</v>
      </c>
      <c r="N16" s="11">
        <f t="shared" si="3"/>
        <v>0</v>
      </c>
      <c r="O16" s="11">
        <f t="shared" si="3"/>
        <v>0</v>
      </c>
      <c r="Q16" s="11">
        <f t="shared" ref="Q16:AC16" si="4">SUM(Q13:Q14)</f>
        <v>0</v>
      </c>
      <c r="R16" s="11">
        <f t="shared" si="4"/>
        <v>0</v>
      </c>
      <c r="S16" s="11">
        <f t="shared" si="4"/>
        <v>0</v>
      </c>
      <c r="T16" s="11">
        <f t="shared" si="4"/>
        <v>0</v>
      </c>
      <c r="U16" s="11">
        <f t="shared" si="4"/>
        <v>0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>
        <f t="shared" si="4"/>
        <v>0</v>
      </c>
      <c r="Z16" s="11">
        <f t="shared" si="4"/>
        <v>0</v>
      </c>
      <c r="AA16" s="11">
        <f t="shared" si="4"/>
        <v>0</v>
      </c>
      <c r="AB16" s="11">
        <f t="shared" si="4"/>
        <v>0</v>
      </c>
      <c r="AC16" s="11">
        <f t="shared" si="4"/>
        <v>0</v>
      </c>
      <c r="AE16" s="11">
        <f t="shared" ref="AE16:AQ16" si="5">SUM(AE13:AE14)</f>
        <v>0</v>
      </c>
      <c r="AF16" s="11">
        <f t="shared" si="5"/>
        <v>0</v>
      </c>
      <c r="AG16" s="11">
        <f t="shared" si="5"/>
        <v>0</v>
      </c>
      <c r="AH16" s="11">
        <f t="shared" si="5"/>
        <v>0</v>
      </c>
      <c r="AI16" s="11">
        <f t="shared" si="5"/>
        <v>0</v>
      </c>
      <c r="AJ16" s="11">
        <f t="shared" si="5"/>
        <v>0</v>
      </c>
      <c r="AK16" s="11">
        <f t="shared" si="5"/>
        <v>0</v>
      </c>
      <c r="AL16" s="11">
        <f t="shared" si="5"/>
        <v>0</v>
      </c>
      <c r="AM16" s="11">
        <f t="shared" si="5"/>
        <v>0</v>
      </c>
      <c r="AN16" s="11">
        <f t="shared" si="5"/>
        <v>0</v>
      </c>
      <c r="AO16" s="11">
        <f t="shared" si="5"/>
        <v>0</v>
      </c>
      <c r="AP16" s="11">
        <f t="shared" si="5"/>
        <v>0</v>
      </c>
      <c r="AQ16" s="11">
        <f t="shared" si="5"/>
        <v>0</v>
      </c>
    </row>
    <row r="17" spans="1:43" hidden="1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idden="1" x14ac:dyDescent="0.15">
      <c r="A18" s="1" t="s">
        <v>19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6">
        <f>SUM(C18:N18)</f>
        <v>0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">
        <f>SUM(Q18:AB18)</f>
        <v>0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6">
        <f>SUM(AE18:AP18)</f>
        <v>0</v>
      </c>
    </row>
    <row r="19" spans="1:43" hidden="1" x14ac:dyDescent="0.1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</row>
    <row r="20" spans="1:43" hidden="1" x14ac:dyDescent="0.15">
      <c r="A20" t="s">
        <v>20</v>
      </c>
      <c r="C20" s="13">
        <f t="shared" ref="C20:O20" si="6">+C16-C18</f>
        <v>0</v>
      </c>
      <c r="D20" s="13">
        <f t="shared" si="6"/>
        <v>0</v>
      </c>
      <c r="E20" s="13">
        <f t="shared" si="6"/>
        <v>0</v>
      </c>
      <c r="F20" s="13">
        <f t="shared" si="6"/>
        <v>0</v>
      </c>
      <c r="G20" s="13">
        <f t="shared" si="6"/>
        <v>0</v>
      </c>
      <c r="H20" s="13">
        <f t="shared" si="6"/>
        <v>0</v>
      </c>
      <c r="I20" s="13">
        <f t="shared" si="6"/>
        <v>0</v>
      </c>
      <c r="J20" s="13">
        <f t="shared" si="6"/>
        <v>0</v>
      </c>
      <c r="K20" s="13">
        <f t="shared" si="6"/>
        <v>0</v>
      </c>
      <c r="L20" s="13">
        <f t="shared" si="6"/>
        <v>0</v>
      </c>
      <c r="M20" s="13">
        <f t="shared" si="6"/>
        <v>0</v>
      </c>
      <c r="N20" s="13">
        <f t="shared" si="6"/>
        <v>0</v>
      </c>
      <c r="O20" s="13">
        <f t="shared" si="6"/>
        <v>0</v>
      </c>
      <c r="Q20" s="13">
        <f t="shared" ref="Q20:AC20" si="7">+Q16-Q18</f>
        <v>0</v>
      </c>
      <c r="R20" s="13">
        <f t="shared" si="7"/>
        <v>0</v>
      </c>
      <c r="S20" s="13">
        <f t="shared" si="7"/>
        <v>0</v>
      </c>
      <c r="T20" s="13">
        <f t="shared" si="7"/>
        <v>0</v>
      </c>
      <c r="U20" s="13">
        <f t="shared" si="7"/>
        <v>0</v>
      </c>
      <c r="V20" s="13">
        <f t="shared" si="7"/>
        <v>0</v>
      </c>
      <c r="W20" s="13">
        <f t="shared" si="7"/>
        <v>0</v>
      </c>
      <c r="X20" s="13">
        <f t="shared" si="7"/>
        <v>0</v>
      </c>
      <c r="Y20" s="13">
        <f t="shared" si="7"/>
        <v>0</v>
      </c>
      <c r="Z20" s="13">
        <f t="shared" si="7"/>
        <v>0</v>
      </c>
      <c r="AA20" s="13">
        <f t="shared" si="7"/>
        <v>0</v>
      </c>
      <c r="AB20" s="13">
        <f t="shared" si="7"/>
        <v>0</v>
      </c>
      <c r="AC20" s="13">
        <f t="shared" si="7"/>
        <v>0</v>
      </c>
      <c r="AE20" s="13">
        <f t="shared" ref="AE20:AQ20" si="8">+AE16-AE18</f>
        <v>0</v>
      </c>
      <c r="AF20" s="13">
        <f t="shared" si="8"/>
        <v>0</v>
      </c>
      <c r="AG20" s="13">
        <f t="shared" si="8"/>
        <v>0</v>
      </c>
      <c r="AH20" s="13">
        <f t="shared" si="8"/>
        <v>0</v>
      </c>
      <c r="AI20" s="13">
        <f t="shared" si="8"/>
        <v>0</v>
      </c>
      <c r="AJ20" s="13">
        <f t="shared" si="8"/>
        <v>0</v>
      </c>
      <c r="AK20" s="13">
        <f t="shared" si="8"/>
        <v>0</v>
      </c>
      <c r="AL20" s="13">
        <f t="shared" si="8"/>
        <v>0</v>
      </c>
      <c r="AM20" s="13">
        <f t="shared" si="8"/>
        <v>0</v>
      </c>
      <c r="AN20" s="13">
        <f t="shared" si="8"/>
        <v>0</v>
      </c>
      <c r="AO20" s="13">
        <f t="shared" si="8"/>
        <v>0</v>
      </c>
      <c r="AP20" s="13">
        <f t="shared" si="8"/>
        <v>0</v>
      </c>
      <c r="AQ20" s="13">
        <f t="shared" si="8"/>
        <v>0</v>
      </c>
    </row>
    <row r="21" spans="1:43" hidden="1" x14ac:dyDescent="0.1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</row>
    <row r="22" spans="1:43" hidden="1" x14ac:dyDescent="0.15">
      <c r="A22" s="9" t="s">
        <v>21</v>
      </c>
      <c r="B22" s="10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</row>
    <row r="23" spans="1:43" hidden="1" x14ac:dyDescent="0.15">
      <c r="A23" t="s">
        <v>80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>
        <f t="shared" ref="O23:O34" si="9">SUM(C23:N23)</f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>
        <f t="shared" ref="AC23:AC34" si="10">SUM(Q23:AB23)</f>
        <v>0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>
        <f t="shared" ref="AQ23:AQ34" si="11">SUM(AE23:AP23)</f>
        <v>0</v>
      </c>
    </row>
    <row r="24" spans="1:43" hidden="1" x14ac:dyDescent="0.15">
      <c r="A24" t="s">
        <v>22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>
        <f t="shared" si="9"/>
        <v>0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>
        <f t="shared" si="10"/>
        <v>0</v>
      </c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>
        <f t="shared" si="11"/>
        <v>0</v>
      </c>
    </row>
    <row r="25" spans="1:43" hidden="1" x14ac:dyDescent="0.15">
      <c r="A25" s="29" t="s">
        <v>23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>
        <f t="shared" si="9"/>
        <v>0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>
        <f t="shared" si="10"/>
        <v>0</v>
      </c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>
        <f t="shared" si="11"/>
        <v>0</v>
      </c>
    </row>
    <row r="26" spans="1:43" hidden="1" x14ac:dyDescent="0.15">
      <c r="A26" s="29" t="s">
        <v>24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>
        <f t="shared" si="9"/>
        <v>0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>
        <f t="shared" si="10"/>
        <v>0</v>
      </c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>
        <f t="shared" si="11"/>
        <v>0</v>
      </c>
    </row>
    <row r="27" spans="1:43" hidden="1" x14ac:dyDescent="0.15">
      <c r="A27" s="29" t="s">
        <v>25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>
        <f t="shared" si="9"/>
        <v>0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>
        <f t="shared" si="10"/>
        <v>0</v>
      </c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>
        <f t="shared" si="11"/>
        <v>0</v>
      </c>
    </row>
    <row r="28" spans="1:43" hidden="1" x14ac:dyDescent="0.15">
      <c r="A28" s="29" t="s">
        <v>27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>
        <f t="shared" si="9"/>
        <v>0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>
        <f t="shared" si="10"/>
        <v>0</v>
      </c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>
        <f t="shared" si="11"/>
        <v>0</v>
      </c>
    </row>
    <row r="29" spans="1:43" hidden="1" x14ac:dyDescent="0.15">
      <c r="A29" s="29" t="s">
        <v>28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>
        <f t="shared" si="9"/>
        <v>0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>
        <f t="shared" si="10"/>
        <v>0</v>
      </c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>
        <f t="shared" si="11"/>
        <v>0</v>
      </c>
    </row>
    <row r="30" spans="1:43" hidden="1" x14ac:dyDescent="0.15">
      <c r="A30" s="29" t="s">
        <v>81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f t="shared" si="9"/>
        <v>0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>
        <f t="shared" si="10"/>
        <v>0</v>
      </c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>
        <f t="shared" si="11"/>
        <v>0</v>
      </c>
    </row>
    <row r="31" spans="1:43" hidden="1" x14ac:dyDescent="0.15">
      <c r="A31" s="29" t="s">
        <v>26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>
        <f t="shared" si="9"/>
        <v>0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>
        <f t="shared" si="10"/>
        <v>0</v>
      </c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>
        <f t="shared" si="11"/>
        <v>0</v>
      </c>
    </row>
    <row r="32" spans="1:43" hidden="1" x14ac:dyDescent="0.15">
      <c r="A32" s="29" t="s">
        <v>29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>
        <f t="shared" si="9"/>
        <v>0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>
        <f t="shared" si="10"/>
        <v>0</v>
      </c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>
        <f t="shared" si="11"/>
        <v>0</v>
      </c>
    </row>
    <row r="33" spans="1:43" hidden="1" x14ac:dyDescent="0.15">
      <c r="A33" t="s">
        <v>30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>
        <f t="shared" si="9"/>
        <v>0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>
        <f t="shared" si="10"/>
        <v>0</v>
      </c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>
        <f t="shared" si="11"/>
        <v>0</v>
      </c>
    </row>
    <row r="34" spans="1:43" hidden="1" x14ac:dyDescent="0.15">
      <c r="A34" t="s">
        <v>31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f t="shared" si="9"/>
        <v>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>
        <f t="shared" si="10"/>
        <v>0</v>
      </c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>
        <f t="shared" si="11"/>
        <v>0</v>
      </c>
    </row>
    <row r="35" spans="1:43" hidden="1" x14ac:dyDescent="0.15">
      <c r="A35" s="1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hidden="1" x14ac:dyDescent="0.15">
      <c r="A36" s="1" t="s">
        <v>18</v>
      </c>
      <c r="C36" s="6">
        <f t="shared" ref="C36:O36" si="12">SUM(C23:C34)</f>
        <v>0</v>
      </c>
      <c r="D36" s="6">
        <f t="shared" si="12"/>
        <v>0</v>
      </c>
      <c r="E36" s="6">
        <f t="shared" si="12"/>
        <v>0</v>
      </c>
      <c r="F36" s="6">
        <f t="shared" si="12"/>
        <v>0</v>
      </c>
      <c r="G36" s="6">
        <f t="shared" si="12"/>
        <v>0</v>
      </c>
      <c r="H36" s="6">
        <f t="shared" si="12"/>
        <v>0</v>
      </c>
      <c r="I36" s="6">
        <f t="shared" si="12"/>
        <v>0</v>
      </c>
      <c r="J36" s="6">
        <f t="shared" si="12"/>
        <v>0</v>
      </c>
      <c r="K36" s="6">
        <f t="shared" si="12"/>
        <v>0</v>
      </c>
      <c r="L36" s="6">
        <f t="shared" si="12"/>
        <v>0</v>
      </c>
      <c r="M36" s="6">
        <f t="shared" si="12"/>
        <v>0</v>
      </c>
      <c r="N36" s="6">
        <f t="shared" si="12"/>
        <v>0</v>
      </c>
      <c r="O36" s="6">
        <f t="shared" si="12"/>
        <v>0</v>
      </c>
      <c r="Q36" s="6">
        <f t="shared" ref="Q36:AC36" si="13">SUM(Q23:Q34)</f>
        <v>0</v>
      </c>
      <c r="R36" s="6">
        <f t="shared" si="13"/>
        <v>0</v>
      </c>
      <c r="S36" s="6">
        <f t="shared" si="13"/>
        <v>0</v>
      </c>
      <c r="T36" s="6">
        <f t="shared" si="13"/>
        <v>0</v>
      </c>
      <c r="U36" s="6">
        <f t="shared" si="13"/>
        <v>0</v>
      </c>
      <c r="V36" s="6">
        <f t="shared" si="13"/>
        <v>0</v>
      </c>
      <c r="W36" s="6">
        <f t="shared" si="13"/>
        <v>0</v>
      </c>
      <c r="X36" s="6">
        <f t="shared" si="13"/>
        <v>0</v>
      </c>
      <c r="Y36" s="6">
        <f t="shared" si="13"/>
        <v>0</v>
      </c>
      <c r="Z36" s="6">
        <f t="shared" si="13"/>
        <v>0</v>
      </c>
      <c r="AA36" s="6">
        <f t="shared" si="13"/>
        <v>0</v>
      </c>
      <c r="AB36" s="6">
        <f t="shared" si="13"/>
        <v>0</v>
      </c>
      <c r="AC36" s="6">
        <f t="shared" si="13"/>
        <v>0</v>
      </c>
      <c r="AE36" s="6">
        <f t="shared" ref="AE36:AQ36" si="14">SUM(AE23:AE34)</f>
        <v>0</v>
      </c>
      <c r="AF36" s="6">
        <f t="shared" si="14"/>
        <v>0</v>
      </c>
      <c r="AG36" s="6">
        <f t="shared" si="14"/>
        <v>0</v>
      </c>
      <c r="AH36" s="6">
        <f t="shared" si="14"/>
        <v>0</v>
      </c>
      <c r="AI36" s="6">
        <f t="shared" si="14"/>
        <v>0</v>
      </c>
      <c r="AJ36" s="6">
        <f t="shared" si="14"/>
        <v>0</v>
      </c>
      <c r="AK36" s="6">
        <f t="shared" si="14"/>
        <v>0</v>
      </c>
      <c r="AL36" s="6">
        <f t="shared" si="14"/>
        <v>0</v>
      </c>
      <c r="AM36" s="6">
        <f t="shared" si="14"/>
        <v>0</v>
      </c>
      <c r="AN36" s="6">
        <f t="shared" si="14"/>
        <v>0</v>
      </c>
      <c r="AO36" s="6">
        <f t="shared" si="14"/>
        <v>0</v>
      </c>
      <c r="AP36" s="6">
        <f t="shared" si="14"/>
        <v>0</v>
      </c>
      <c r="AQ36" s="6">
        <f t="shared" si="14"/>
        <v>0</v>
      </c>
    </row>
    <row r="37" spans="1:43" x14ac:dyDescent="0.15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x14ac:dyDescent="0.15">
      <c r="A38" s="1" t="s">
        <v>32</v>
      </c>
      <c r="C38" s="21">
        <f>+'IS for importing to SW'!C49</f>
        <v>126430.86400000006</v>
      </c>
      <c r="D38" s="21">
        <f>+'IS for importing to SW'!D49</f>
        <v>188487.46920000017</v>
      </c>
      <c r="E38" s="21">
        <f>+'IS for importing to SW'!E49</f>
        <v>143434.94871085734</v>
      </c>
      <c r="F38" s="21">
        <f>+'IS for importing to SW'!F49</f>
        <v>79372.086169058573</v>
      </c>
      <c r="G38" s="21">
        <f>+'IS for importing to SW'!G49</f>
        <v>121098.52607013128</v>
      </c>
      <c r="H38" s="21">
        <f>+'IS for importing to SW'!H49</f>
        <v>181052.9766460665</v>
      </c>
      <c r="I38" s="21">
        <f>+'IS for importing to SW'!I49</f>
        <v>188054.61806393374</v>
      </c>
      <c r="J38" s="21">
        <f>+'IS for importing to SW'!J49</f>
        <v>195958.57273868279</v>
      </c>
      <c r="K38" s="21">
        <f>+'IS for importing to SW'!K49</f>
        <v>158166.21450084602</v>
      </c>
      <c r="L38" s="21">
        <f>+'IS for importing to SW'!L49</f>
        <v>73541.110878823994</v>
      </c>
      <c r="M38" s="21">
        <f>+'IS for importing to SW'!M49</f>
        <v>123900.91398937415</v>
      </c>
      <c r="N38" s="21">
        <f>+'IS for importing to SW'!N49</f>
        <v>82438.363342249708</v>
      </c>
      <c r="O38" s="21">
        <f>SUM(C38:N38)</f>
        <v>1661936.6643100246</v>
      </c>
      <c r="Q38" s="21">
        <f>+'IS for importing to SW'!Q49</f>
        <v>138979.50147521088</v>
      </c>
      <c r="R38" s="21">
        <f>+'IS for importing to SW'!R49</f>
        <v>250379.07761000015</v>
      </c>
      <c r="S38" s="21">
        <f>+'IS for importing to SW'!S49</f>
        <v>174177.96313239768</v>
      </c>
      <c r="T38" s="21">
        <f>+'IS for importing to SW'!T49</f>
        <v>80760.192478498822</v>
      </c>
      <c r="U38" s="21">
        <f>+'IS for importing to SW'!U49</f>
        <v>90009.940164527274</v>
      </c>
      <c r="V38" s="21">
        <f>+'IS for importing to SW'!V49</f>
        <v>53977.79236562681</v>
      </c>
      <c r="W38" s="21"/>
      <c r="X38" s="21"/>
      <c r="Y38" s="21"/>
      <c r="Z38" s="21"/>
      <c r="AA38" s="21"/>
      <c r="AB38" s="21"/>
      <c r="AC38" s="21">
        <f>SUM(Q38:AB38)</f>
        <v>788284.46722626162</v>
      </c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>
        <f>SUM(AE38:AP38)</f>
        <v>0</v>
      </c>
    </row>
    <row r="39" spans="1:43" x14ac:dyDescent="0.15">
      <c r="A39" s="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3" x14ac:dyDescent="0.15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x14ac:dyDescent="0.15">
      <c r="A41" s="7" t="s">
        <v>33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</row>
    <row r="42" spans="1:43" x14ac:dyDescent="0.15">
      <c r="A42" s="9" t="s">
        <v>34</v>
      </c>
      <c r="B42" s="16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</row>
    <row r="43" spans="1:43" x14ac:dyDescent="0.15">
      <c r="A43" s="1" t="s">
        <v>83</v>
      </c>
      <c r="C43" s="37" t="e">
        <f>-#REF!</f>
        <v>#REF!</v>
      </c>
      <c r="D43" s="37" t="e">
        <f>+C43</f>
        <v>#REF!</v>
      </c>
      <c r="E43" s="37" t="e">
        <f t="shared" ref="E43:N43" si="15">+D43</f>
        <v>#REF!</v>
      </c>
      <c r="F43" s="37" t="e">
        <f t="shared" si="15"/>
        <v>#REF!</v>
      </c>
      <c r="G43" s="37" t="e">
        <f t="shared" si="15"/>
        <v>#REF!</v>
      </c>
      <c r="H43" s="37" t="e">
        <f t="shared" si="15"/>
        <v>#REF!</v>
      </c>
      <c r="I43" s="37" t="e">
        <f t="shared" si="15"/>
        <v>#REF!</v>
      </c>
      <c r="J43" s="37" t="e">
        <f t="shared" si="15"/>
        <v>#REF!</v>
      </c>
      <c r="K43" s="37" t="e">
        <f t="shared" si="15"/>
        <v>#REF!</v>
      </c>
      <c r="L43" s="37" t="e">
        <f t="shared" si="15"/>
        <v>#REF!</v>
      </c>
      <c r="M43" s="37" t="e">
        <f t="shared" si="15"/>
        <v>#REF!</v>
      </c>
      <c r="N43" s="37" t="e">
        <f t="shared" si="15"/>
        <v>#REF!</v>
      </c>
      <c r="O43" s="37" t="e">
        <f>SUM(C43:N43)</f>
        <v>#REF!</v>
      </c>
      <c r="Q43" s="37" t="e">
        <f>+N43</f>
        <v>#REF!</v>
      </c>
      <c r="R43" s="37" t="e">
        <f>+Q43</f>
        <v>#REF!</v>
      </c>
      <c r="S43" s="37" t="e">
        <f>+R43</f>
        <v>#REF!</v>
      </c>
      <c r="T43" s="37" t="e">
        <f>+S43</f>
        <v>#REF!</v>
      </c>
      <c r="U43" s="37" t="e">
        <f>+T43</f>
        <v>#REF!</v>
      </c>
      <c r="V43" s="37" t="e">
        <f>+U43</f>
        <v>#REF!</v>
      </c>
      <c r="W43" s="37"/>
      <c r="X43" s="37"/>
      <c r="Y43" s="37"/>
      <c r="Z43" s="37"/>
      <c r="AA43" s="37"/>
      <c r="AB43" s="37"/>
      <c r="AC43" s="37" t="e">
        <f>SUM(Q43:AB43)</f>
        <v>#REF!</v>
      </c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>
        <f>SUM(AE43:AP43)</f>
        <v>0</v>
      </c>
    </row>
    <row r="44" spans="1:43" x14ac:dyDescent="0.15">
      <c r="A44" s="1" t="s">
        <v>17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f>SUM(C44:N44)</f>
        <v>0</v>
      </c>
      <c r="Q44" s="6" t="e">
        <f>+#REF!</f>
        <v>#REF!</v>
      </c>
      <c r="R44" s="6" t="e">
        <f>+#REF!</f>
        <v>#REF!</v>
      </c>
      <c r="S44" s="6" t="e">
        <f>+#REF!</f>
        <v>#REF!</v>
      </c>
      <c r="T44" s="6" t="e">
        <f>+#REF!</f>
        <v>#REF!</v>
      </c>
      <c r="U44" s="6" t="e">
        <f>+#REF!</f>
        <v>#REF!</v>
      </c>
      <c r="V44" s="6" t="e">
        <f>+#REF!</f>
        <v>#REF!</v>
      </c>
      <c r="W44" s="6"/>
      <c r="X44" s="6"/>
      <c r="Y44" s="6"/>
      <c r="Z44" s="6"/>
      <c r="AA44" s="6"/>
      <c r="AB44" s="6"/>
      <c r="AC44" s="6" t="e">
        <f>SUM(Q44:AB44)</f>
        <v>#REF!</v>
      </c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>
        <f>SUM(AE44:AP44)</f>
        <v>0</v>
      </c>
    </row>
    <row r="45" spans="1:43" x14ac:dyDescent="0.15">
      <c r="A45" s="1" t="s">
        <v>35</v>
      </c>
      <c r="C45" s="8" t="e">
        <f t="shared" ref="C45:O45" si="16">SUM(C43:C44)</f>
        <v>#REF!</v>
      </c>
      <c r="D45" s="8" t="e">
        <f t="shared" si="16"/>
        <v>#REF!</v>
      </c>
      <c r="E45" s="8" t="e">
        <f t="shared" si="16"/>
        <v>#REF!</v>
      </c>
      <c r="F45" s="8" t="e">
        <f t="shared" si="16"/>
        <v>#REF!</v>
      </c>
      <c r="G45" s="8" t="e">
        <f t="shared" si="16"/>
        <v>#REF!</v>
      </c>
      <c r="H45" s="8" t="e">
        <f t="shared" si="16"/>
        <v>#REF!</v>
      </c>
      <c r="I45" s="8" t="e">
        <f t="shared" si="16"/>
        <v>#REF!</v>
      </c>
      <c r="J45" s="8" t="e">
        <f t="shared" si="16"/>
        <v>#REF!</v>
      </c>
      <c r="K45" s="8" t="e">
        <f t="shared" si="16"/>
        <v>#REF!</v>
      </c>
      <c r="L45" s="8" t="e">
        <f t="shared" si="16"/>
        <v>#REF!</v>
      </c>
      <c r="M45" s="8" t="e">
        <f t="shared" si="16"/>
        <v>#REF!</v>
      </c>
      <c r="N45" s="8" t="e">
        <f t="shared" si="16"/>
        <v>#REF!</v>
      </c>
      <c r="O45" s="8" t="e">
        <f t="shared" si="16"/>
        <v>#REF!</v>
      </c>
      <c r="Q45" s="8" t="e">
        <f t="shared" ref="Q45:AC45" si="17">SUM(Q43:Q44)</f>
        <v>#REF!</v>
      </c>
      <c r="R45" s="8" t="e">
        <f t="shared" si="17"/>
        <v>#REF!</v>
      </c>
      <c r="S45" s="8" t="e">
        <f t="shared" si="17"/>
        <v>#REF!</v>
      </c>
      <c r="T45" s="8" t="e">
        <f t="shared" si="17"/>
        <v>#REF!</v>
      </c>
      <c r="U45" s="8" t="e">
        <f t="shared" si="17"/>
        <v>#REF!</v>
      </c>
      <c r="V45" s="8" t="e">
        <f t="shared" si="17"/>
        <v>#REF!</v>
      </c>
      <c r="W45" s="8">
        <f t="shared" si="17"/>
        <v>0</v>
      </c>
      <c r="X45" s="8">
        <f>SUM(X43:X44)</f>
        <v>0</v>
      </c>
      <c r="Y45" s="8">
        <f>SUM(Y43:Y44)</f>
        <v>0</v>
      </c>
      <c r="Z45" s="8">
        <f>SUM(Z43:Z44)</f>
        <v>0</v>
      </c>
      <c r="AA45" s="8">
        <f>SUM(AA43:AA44)</f>
        <v>0</v>
      </c>
      <c r="AB45" s="8">
        <f>SUM(AB43:AB44)</f>
        <v>0</v>
      </c>
      <c r="AC45" s="8" t="e">
        <f t="shared" si="17"/>
        <v>#REF!</v>
      </c>
      <c r="AE45" s="8">
        <f t="shared" ref="AE45:AP45" si="18">SUM(AE43:AE44)</f>
        <v>0</v>
      </c>
      <c r="AF45" s="8">
        <f t="shared" si="18"/>
        <v>0</v>
      </c>
      <c r="AG45" s="8">
        <f t="shared" si="18"/>
        <v>0</v>
      </c>
      <c r="AH45" s="8">
        <f t="shared" si="18"/>
        <v>0</v>
      </c>
      <c r="AI45" s="8">
        <f t="shared" si="18"/>
        <v>0</v>
      </c>
      <c r="AJ45" s="8">
        <f t="shared" si="18"/>
        <v>0</v>
      </c>
      <c r="AK45" s="8">
        <f t="shared" si="18"/>
        <v>0</v>
      </c>
      <c r="AL45" s="8">
        <f t="shared" si="18"/>
        <v>0</v>
      </c>
      <c r="AM45" s="8">
        <f t="shared" si="18"/>
        <v>0</v>
      </c>
      <c r="AN45" s="8">
        <f t="shared" si="18"/>
        <v>0</v>
      </c>
      <c r="AO45" s="8">
        <f t="shared" si="18"/>
        <v>0</v>
      </c>
      <c r="AP45" s="8">
        <f t="shared" si="18"/>
        <v>0</v>
      </c>
      <c r="AQ45" s="8">
        <f>SUM(AQ43:AQ44)</f>
        <v>0</v>
      </c>
    </row>
    <row r="46" spans="1:43" x14ac:dyDescent="0.15">
      <c r="A46" s="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</row>
    <row r="47" spans="1:43" x14ac:dyDescent="0.15">
      <c r="A47" s="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1:43" x14ac:dyDescent="0.15">
      <c r="A48" s="7" t="s">
        <v>36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1:43" x14ac:dyDescent="0.15">
      <c r="A49" s="9" t="s">
        <v>37</v>
      </c>
      <c r="B49" s="10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 x14ac:dyDescent="0.15">
      <c r="A50" s="1" t="s">
        <v>38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f>SUM(C50:N50)</f>
        <v>0</v>
      </c>
      <c r="Q50" s="8">
        <v>-11250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/>
      <c r="X50" s="8"/>
      <c r="Y50" s="8"/>
      <c r="Z50" s="8"/>
      <c r="AA50" s="8"/>
      <c r="AB50" s="8"/>
      <c r="AC50" s="8">
        <f>SUM(Q50:AB50)</f>
        <v>-11250</v>
      </c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>
        <f>SUM(AE50:AP50)</f>
        <v>0</v>
      </c>
    </row>
    <row r="51" spans="1:43" x14ac:dyDescent="0.15">
      <c r="A51" s="1" t="s">
        <v>17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f>SUM(C51:N51)</f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/>
      <c r="X51" s="6"/>
      <c r="Y51" s="6"/>
      <c r="Z51" s="6"/>
      <c r="AA51" s="6"/>
      <c r="AB51" s="6"/>
      <c r="AC51" s="6">
        <f>SUM(Q51:AB51)</f>
        <v>0</v>
      </c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>
        <f>SUM(AE51:AP51)</f>
        <v>0</v>
      </c>
    </row>
    <row r="52" spans="1:43" x14ac:dyDescent="0.15">
      <c r="A52" s="1" t="s">
        <v>35</v>
      </c>
      <c r="C52" s="8">
        <f t="shared" ref="C52:O52" si="19">SUM(C50:C51)</f>
        <v>0</v>
      </c>
      <c r="D52" s="8">
        <f t="shared" si="19"/>
        <v>0</v>
      </c>
      <c r="E52" s="8">
        <f t="shared" si="19"/>
        <v>0</v>
      </c>
      <c r="F52" s="8">
        <f t="shared" si="19"/>
        <v>0</v>
      </c>
      <c r="G52" s="8">
        <f t="shared" si="19"/>
        <v>0</v>
      </c>
      <c r="H52" s="8">
        <f t="shared" si="19"/>
        <v>0</v>
      </c>
      <c r="I52" s="8">
        <f t="shared" si="19"/>
        <v>0</v>
      </c>
      <c r="J52" s="8">
        <f t="shared" si="19"/>
        <v>0</v>
      </c>
      <c r="K52" s="8">
        <f t="shared" si="19"/>
        <v>0</v>
      </c>
      <c r="L52" s="8">
        <f t="shared" si="19"/>
        <v>0</v>
      </c>
      <c r="M52" s="8">
        <f t="shared" si="19"/>
        <v>0</v>
      </c>
      <c r="N52" s="8">
        <f t="shared" si="19"/>
        <v>0</v>
      </c>
      <c r="O52" s="8">
        <f t="shared" si="19"/>
        <v>0</v>
      </c>
      <c r="Q52" s="8">
        <f t="shared" ref="Q52:AC52" si="20">SUM(Q50:Q51)</f>
        <v>-11250</v>
      </c>
      <c r="R52" s="8">
        <f t="shared" si="20"/>
        <v>0</v>
      </c>
      <c r="S52" s="8">
        <f t="shared" si="20"/>
        <v>0</v>
      </c>
      <c r="T52" s="8">
        <f t="shared" si="20"/>
        <v>0</v>
      </c>
      <c r="U52" s="8">
        <f t="shared" si="20"/>
        <v>0</v>
      </c>
      <c r="V52" s="8">
        <f t="shared" si="20"/>
        <v>0</v>
      </c>
      <c r="W52" s="8">
        <f t="shared" si="20"/>
        <v>0</v>
      </c>
      <c r="X52" s="8">
        <f>SUM(X50:X51)</f>
        <v>0</v>
      </c>
      <c r="Y52" s="8">
        <f>SUM(Y50:Y51)</f>
        <v>0</v>
      </c>
      <c r="Z52" s="8">
        <f>SUM(Z50:Z51)</f>
        <v>0</v>
      </c>
      <c r="AA52" s="8">
        <f>SUM(AA50:AA51)</f>
        <v>0</v>
      </c>
      <c r="AB52" s="8">
        <f>SUM(AB50:AB51)</f>
        <v>0</v>
      </c>
      <c r="AC52" s="8">
        <f t="shared" si="20"/>
        <v>-11250</v>
      </c>
      <c r="AE52" s="8">
        <f t="shared" ref="AE52:AP52" si="21">SUM(AE50:AE51)</f>
        <v>0</v>
      </c>
      <c r="AF52" s="8">
        <f t="shared" si="21"/>
        <v>0</v>
      </c>
      <c r="AG52" s="8">
        <f t="shared" si="21"/>
        <v>0</v>
      </c>
      <c r="AH52" s="8">
        <f t="shared" si="21"/>
        <v>0</v>
      </c>
      <c r="AI52" s="8">
        <f t="shared" si="21"/>
        <v>0</v>
      </c>
      <c r="AJ52" s="8">
        <f t="shared" si="21"/>
        <v>0</v>
      </c>
      <c r="AK52" s="8">
        <f t="shared" si="21"/>
        <v>0</v>
      </c>
      <c r="AL52" s="8">
        <f t="shared" si="21"/>
        <v>0</v>
      </c>
      <c r="AM52" s="8">
        <f t="shared" si="21"/>
        <v>0</v>
      </c>
      <c r="AN52" s="8">
        <f t="shared" si="21"/>
        <v>0</v>
      </c>
      <c r="AO52" s="8">
        <f t="shared" si="21"/>
        <v>0</v>
      </c>
      <c r="AP52" s="8">
        <f t="shared" si="21"/>
        <v>0</v>
      </c>
      <c r="AQ52" s="8">
        <f>SUM(AQ50:AQ51)</f>
        <v>0</v>
      </c>
    </row>
    <row r="53" spans="1:43" x14ac:dyDescent="0.15">
      <c r="A53" s="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1:43" x14ac:dyDescent="0.15">
      <c r="A54" s="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  <row r="55" spans="1:43" x14ac:dyDescent="0.15">
      <c r="A55" s="7" t="s">
        <v>39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</row>
    <row r="56" spans="1:43" x14ac:dyDescent="0.15">
      <c r="A56" s="9" t="s">
        <v>40</v>
      </c>
      <c r="B56" s="16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3" x14ac:dyDescent="0.15">
      <c r="A57" s="1" t="s">
        <v>43</v>
      </c>
      <c r="C57" s="8">
        <f>-'IS for importing to SW'!C16</f>
        <v>-1943256</v>
      </c>
      <c r="D57" s="8">
        <f>-'IS for importing to SW'!D16</f>
        <v>-2137581.6</v>
      </c>
      <c r="E57" s="8">
        <f>-'IS for importing to SW'!E16</f>
        <v>-2180333.2320000003</v>
      </c>
      <c r="F57" s="8">
        <f>-'IS for importing to SW'!F16</f>
        <v>-1727709.90576</v>
      </c>
      <c r="G57" s="8">
        <f>-'IS for importing to SW'!G16</f>
        <v>-1987155.7076448004</v>
      </c>
      <c r="H57" s="8">
        <f>-'IS for importing to SW'!H16</f>
        <v>-2185871.2784092808</v>
      </c>
      <c r="I57" s="8">
        <f>-'IS for importing to SW'!I16</f>
        <v>-2076577.7144888167</v>
      </c>
      <c r="J57" s="8">
        <f>-'IS for importing to SW'!J16</f>
        <v>-2480467</v>
      </c>
      <c r="K57" s="8">
        <f>-'IS for importing to SW'!K16</f>
        <v>-2149257.934495925</v>
      </c>
      <c r="L57" s="8">
        <f>-'IS for importing to SW'!L16</f>
        <v>-1891346.982356414</v>
      </c>
      <c r="M57" s="8">
        <f>-'IS for importing to SW'!M16</f>
        <v>-1796779.6332385931</v>
      </c>
      <c r="N57" s="8">
        <f>-'IS for importing to SW'!N16</f>
        <v>-1486618.6149005201</v>
      </c>
      <c r="O57" s="8">
        <f>SUM(C57:N57)</f>
        <v>-24042955.60329435</v>
      </c>
      <c r="Q57" s="8">
        <f>-'IS for importing to SW'!Q16</f>
        <v>-2138875.0459234812</v>
      </c>
      <c r="R57" s="8">
        <f>-'IS for importing to SW'!R16</f>
        <v>-2554881.0100000002</v>
      </c>
      <c r="S57" s="8">
        <f>-'IS for importing to SW'!S16</f>
        <v>-2213735.6725308029</v>
      </c>
      <c r="T57" s="8">
        <f>-'IS for importing to SW'!T16</f>
        <v>-1948087.3918271065</v>
      </c>
      <c r="U57" s="8">
        <f>-'IS for importing to SW'!U16</f>
        <v>-1850683.0222357509</v>
      </c>
      <c r="V57" s="8">
        <f>-'IS for importing to SW'!V16</f>
        <v>-1531217.1733475358</v>
      </c>
      <c r="W57" s="8"/>
      <c r="X57" s="8"/>
      <c r="Y57" s="8"/>
      <c r="Z57" s="8"/>
      <c r="AA57" s="8"/>
      <c r="AB57" s="8"/>
      <c r="AC57" s="8">
        <f>SUM(Q57:AB57)</f>
        <v>-12237479.315864678</v>
      </c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>
        <f t="shared" ref="AQ57:AQ64" si="22">SUM(AE57:AP57)</f>
        <v>0</v>
      </c>
    </row>
    <row r="58" spans="1:43" x14ac:dyDescent="0.15">
      <c r="A58" s="1" t="s">
        <v>44</v>
      </c>
      <c r="C58" s="8">
        <f>+C57</f>
        <v>-1943256</v>
      </c>
      <c r="D58" s="8">
        <f t="shared" ref="D58:N58" si="23">+D57</f>
        <v>-2137581.6</v>
      </c>
      <c r="E58" s="8">
        <f t="shared" si="23"/>
        <v>-2180333.2320000003</v>
      </c>
      <c r="F58" s="8">
        <f t="shared" si="23"/>
        <v>-1727709.90576</v>
      </c>
      <c r="G58" s="8">
        <f t="shared" si="23"/>
        <v>-1987155.7076448004</v>
      </c>
      <c r="H58" s="8">
        <f t="shared" si="23"/>
        <v>-2185871.2784092808</v>
      </c>
      <c r="I58" s="8">
        <f t="shared" si="23"/>
        <v>-2076577.7144888167</v>
      </c>
      <c r="J58" s="8">
        <f t="shared" si="23"/>
        <v>-2480467</v>
      </c>
      <c r="K58" s="8">
        <f t="shared" si="23"/>
        <v>-2149257.934495925</v>
      </c>
      <c r="L58" s="8">
        <f t="shared" si="23"/>
        <v>-1891346.982356414</v>
      </c>
      <c r="M58" s="8">
        <f t="shared" si="23"/>
        <v>-1796779.6332385931</v>
      </c>
      <c r="N58" s="8">
        <f t="shared" si="23"/>
        <v>-1486618.6149005201</v>
      </c>
      <c r="O58" s="8">
        <f>SUM(C58:N58)</f>
        <v>-24042955.60329435</v>
      </c>
      <c r="Q58" s="8">
        <f t="shared" ref="Q58:V58" si="24">-Q57-345</f>
        <v>2138530.0459234812</v>
      </c>
      <c r="R58" s="8">
        <f t="shared" si="24"/>
        <v>2554536.0100000002</v>
      </c>
      <c r="S58" s="8">
        <f t="shared" si="24"/>
        <v>2213390.6725308029</v>
      </c>
      <c r="T58" s="8">
        <f t="shared" si="24"/>
        <v>1947742.3918271065</v>
      </c>
      <c r="U58" s="8">
        <f t="shared" si="24"/>
        <v>1850338.0222357509</v>
      </c>
      <c r="V58" s="8">
        <f t="shared" si="24"/>
        <v>1530872.1733475358</v>
      </c>
      <c r="W58" s="8"/>
      <c r="X58" s="8"/>
      <c r="Y58" s="8"/>
      <c r="Z58" s="8"/>
      <c r="AA58" s="8"/>
      <c r="AB58" s="8"/>
      <c r="AC58" s="8">
        <f>SUM(Q58:AB58)</f>
        <v>12235409.315864678</v>
      </c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>
        <f t="shared" si="22"/>
        <v>0</v>
      </c>
    </row>
    <row r="59" spans="1:43" x14ac:dyDescent="0.15">
      <c r="A59" s="1" t="s">
        <v>41</v>
      </c>
      <c r="C59" s="8">
        <f>+'IS for importing to SW'!C18</f>
        <v>1663427.1359999999</v>
      </c>
      <c r="D59" s="8">
        <f>+'IS for importing to SW'!D18</f>
        <v>1791293.3807999999</v>
      </c>
      <c r="E59" s="8">
        <f>+'IS for importing to SW'!E18</f>
        <v>1855463.5804320001</v>
      </c>
      <c r="F59" s="8">
        <f>+'IS for importing to SW'!F18</f>
        <v>1489285.93876512</v>
      </c>
      <c r="G59" s="8">
        <f>+'IS for importing to SW'!G18</f>
        <v>1683120.8843751459</v>
      </c>
      <c r="H59" s="8">
        <f>+'IS for importing to SW'!H18</f>
        <v>1840503.6164206143</v>
      </c>
      <c r="I59" s="8">
        <f>+'IS for importing to SW'!I18</f>
        <v>1731865.8138836729</v>
      </c>
      <c r="J59" s="8">
        <f>+'IS for importing to SW'!J18</f>
        <v>2120799.2850000001</v>
      </c>
      <c r="K59" s="8">
        <f>+'IS for importing to SW'!K18</f>
        <v>1818272.2125835526</v>
      </c>
      <c r="L59" s="8">
        <f>+'IS for importing to SW'!L18</f>
        <v>1647363.2216324366</v>
      </c>
      <c r="M59" s="8">
        <f>+'IS for importing to SW'!M18</f>
        <v>1520075.5697198496</v>
      </c>
      <c r="N59" s="8">
        <f>+'IS for importing to SW'!N18</f>
        <v>1250246.2551313373</v>
      </c>
      <c r="O59" s="8">
        <f t="shared" ref="O59:O64" si="25">SUM(C59:N59)</f>
        <v>20411716.894743733</v>
      </c>
      <c r="Q59" s="8">
        <f>+'IS for importing to SW'!Q18</f>
        <v>1837293.6644482703</v>
      </c>
      <c r="R59" s="8">
        <f>+'IS for importing to SW'!R18</f>
        <v>2143545.1673900001</v>
      </c>
      <c r="S59" s="8">
        <f>+'IS for importing to SW'!S18</f>
        <v>1861751.7005984052</v>
      </c>
      <c r="T59" s="8">
        <f>+'IS for importing to SW'!T18</f>
        <v>1698732.2056732369</v>
      </c>
      <c r="U59" s="8">
        <f>+'IS for importing to SW'!U18</f>
        <v>1567528.5198336809</v>
      </c>
      <c r="V59" s="8">
        <f>+'IS for importing to SW'!V18</f>
        <v>1303065.814518753</v>
      </c>
      <c r="W59" s="8"/>
      <c r="X59" s="8"/>
      <c r="Y59" s="8"/>
      <c r="Z59" s="8"/>
      <c r="AA59" s="8"/>
      <c r="AB59" s="8"/>
      <c r="AC59" s="8">
        <f t="shared" ref="AC59:AC64" si="26">SUM(Q59:AB59)</f>
        <v>10411917.072462346</v>
      </c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>
        <f t="shared" si="22"/>
        <v>0</v>
      </c>
    </row>
    <row r="60" spans="1:43" x14ac:dyDescent="0.15">
      <c r="A60" s="1" t="s">
        <v>42</v>
      </c>
      <c r="C60" s="8">
        <f>-C59</f>
        <v>-1663427.1359999999</v>
      </c>
      <c r="D60" s="8">
        <f t="shared" ref="D60:N60" si="27">-D59</f>
        <v>-1791293.3807999999</v>
      </c>
      <c r="E60" s="8">
        <f t="shared" si="27"/>
        <v>-1855463.5804320001</v>
      </c>
      <c r="F60" s="8">
        <f t="shared" si="27"/>
        <v>-1489285.93876512</v>
      </c>
      <c r="G60" s="8">
        <f t="shared" si="27"/>
        <v>-1683120.8843751459</v>
      </c>
      <c r="H60" s="8">
        <f t="shared" si="27"/>
        <v>-1840503.6164206143</v>
      </c>
      <c r="I60" s="8">
        <f t="shared" si="27"/>
        <v>-1731865.8138836729</v>
      </c>
      <c r="J60" s="8">
        <f t="shared" si="27"/>
        <v>-2120799.2850000001</v>
      </c>
      <c r="K60" s="8">
        <f t="shared" si="27"/>
        <v>-1818272.2125835526</v>
      </c>
      <c r="L60" s="8">
        <f t="shared" si="27"/>
        <v>-1647363.2216324366</v>
      </c>
      <c r="M60" s="8">
        <f t="shared" si="27"/>
        <v>-1520075.5697198496</v>
      </c>
      <c r="N60" s="8">
        <f t="shared" si="27"/>
        <v>-1250246.2551313373</v>
      </c>
      <c r="O60" s="8">
        <f t="shared" si="25"/>
        <v>-20411716.894743733</v>
      </c>
      <c r="Q60" s="8" t="e">
        <f>-#REF!</f>
        <v>#REF!</v>
      </c>
      <c r="R60" s="8" t="e">
        <f>-#REF!</f>
        <v>#REF!</v>
      </c>
      <c r="S60" s="8" t="e">
        <f>-#REF!</f>
        <v>#REF!</v>
      </c>
      <c r="T60" s="8" t="e">
        <f>-#REF!</f>
        <v>#REF!</v>
      </c>
      <c r="U60" s="8" t="e">
        <f>-#REF!</f>
        <v>#REF!</v>
      </c>
      <c r="V60" s="8" t="e">
        <f>-#REF!</f>
        <v>#REF!</v>
      </c>
      <c r="W60" s="8"/>
      <c r="X60" s="8"/>
      <c r="Y60" s="8"/>
      <c r="Z60" s="8"/>
      <c r="AA60" s="8"/>
      <c r="AB60" s="8"/>
      <c r="AC60" s="8" t="e">
        <f t="shared" si="26"/>
        <v>#REF!</v>
      </c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>
        <f t="shared" si="22"/>
        <v>0</v>
      </c>
    </row>
    <row r="61" spans="1:43" x14ac:dyDescent="0.15">
      <c r="A61" s="1" t="s">
        <v>45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f t="shared" si="25"/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/>
      <c r="X61" s="8"/>
      <c r="Y61" s="8"/>
      <c r="Z61" s="8"/>
      <c r="AA61" s="8"/>
      <c r="AB61" s="8"/>
      <c r="AC61" s="8">
        <f t="shared" si="26"/>
        <v>0</v>
      </c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>
        <f t="shared" si="22"/>
        <v>0</v>
      </c>
    </row>
    <row r="62" spans="1:43" x14ac:dyDescent="0.15">
      <c r="A62" s="1" t="s">
        <v>89</v>
      </c>
      <c r="C62" s="8">
        <v>-5000</v>
      </c>
      <c r="D62" s="8">
        <v>-5000</v>
      </c>
      <c r="E62" s="8">
        <v>-5000</v>
      </c>
      <c r="F62" s="8">
        <v>-5000</v>
      </c>
      <c r="G62" s="8">
        <v>-5000</v>
      </c>
      <c r="H62" s="8">
        <v>-5000</v>
      </c>
      <c r="I62" s="8">
        <v>-5000</v>
      </c>
      <c r="J62" s="8">
        <v>-5000</v>
      </c>
      <c r="K62" s="8">
        <v>-5000</v>
      </c>
      <c r="L62" s="8">
        <v>-5000</v>
      </c>
      <c r="M62" s="8">
        <v>-5000</v>
      </c>
      <c r="N62" s="8">
        <v>-5000</v>
      </c>
      <c r="O62" s="8">
        <f>SUM(C62:N62)</f>
        <v>-60000</v>
      </c>
      <c r="Q62" s="8">
        <v>-5000</v>
      </c>
      <c r="R62" s="8">
        <v>-5000</v>
      </c>
      <c r="S62" s="8">
        <v>-5000</v>
      </c>
      <c r="T62" s="8">
        <v>-5000</v>
      </c>
      <c r="U62" s="8">
        <v>-5000</v>
      </c>
      <c r="V62" s="8">
        <v>-5000</v>
      </c>
      <c r="W62" s="8"/>
      <c r="X62" s="8"/>
      <c r="Y62" s="8"/>
      <c r="Z62" s="8"/>
      <c r="AA62" s="8"/>
      <c r="AB62" s="8"/>
      <c r="AC62" s="8">
        <f>SUM(Q62:AB62)</f>
        <v>-30000</v>
      </c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>
        <f t="shared" si="22"/>
        <v>0</v>
      </c>
    </row>
    <row r="63" spans="1:43" x14ac:dyDescent="0.15">
      <c r="A63" s="1" t="s">
        <v>46</v>
      </c>
      <c r="C63" s="8">
        <v>225</v>
      </c>
      <c r="D63" s="8">
        <v>-100</v>
      </c>
      <c r="E63" s="8">
        <v>50</v>
      </c>
      <c r="F63" s="8">
        <v>-25</v>
      </c>
      <c r="G63" s="8">
        <v>75</v>
      </c>
      <c r="H63" s="8">
        <v>100</v>
      </c>
      <c r="I63" s="8">
        <v>-500</v>
      </c>
      <c r="J63" s="8">
        <v>-500</v>
      </c>
      <c r="K63" s="8">
        <v>-500</v>
      </c>
      <c r="L63" s="8">
        <v>-500</v>
      </c>
      <c r="M63" s="8">
        <v>-500</v>
      </c>
      <c r="N63" s="8">
        <v>-500</v>
      </c>
      <c r="O63" s="8">
        <f t="shared" si="25"/>
        <v>-2675</v>
      </c>
      <c r="Q63" s="8">
        <v>-500</v>
      </c>
      <c r="R63" s="8">
        <v>-500</v>
      </c>
      <c r="S63" s="8">
        <v>-500</v>
      </c>
      <c r="T63" s="8">
        <v>-500</v>
      </c>
      <c r="U63" s="8">
        <v>-500</v>
      </c>
      <c r="V63" s="8">
        <v>-500</v>
      </c>
      <c r="W63" s="8"/>
      <c r="X63" s="8"/>
      <c r="Y63" s="8"/>
      <c r="Z63" s="8"/>
      <c r="AA63" s="8"/>
      <c r="AB63" s="8"/>
      <c r="AC63" s="8">
        <f t="shared" si="26"/>
        <v>-3000</v>
      </c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>
        <f t="shared" si="22"/>
        <v>0</v>
      </c>
    </row>
    <row r="64" spans="1:43" x14ac:dyDescent="0.15">
      <c r="A64" s="17" t="s">
        <v>17</v>
      </c>
      <c r="B64" s="10"/>
      <c r="C64" s="6">
        <v>265</v>
      </c>
      <c r="D64" s="6">
        <v>-136</v>
      </c>
      <c r="E64" s="6">
        <v>-167</v>
      </c>
      <c r="F64" s="6">
        <v>57</v>
      </c>
      <c r="G64" s="6">
        <v>-33</v>
      </c>
      <c r="H64" s="6">
        <v>43</v>
      </c>
      <c r="I64" s="6">
        <v>-16</v>
      </c>
      <c r="J64" s="6">
        <v>18</v>
      </c>
      <c r="K64" s="6">
        <v>37</v>
      </c>
      <c r="L64" s="6">
        <v>21</v>
      </c>
      <c r="M64" s="6">
        <v>-49</v>
      </c>
      <c r="N64" s="6">
        <v>23</v>
      </c>
      <c r="O64" s="6">
        <f t="shared" si="25"/>
        <v>63</v>
      </c>
      <c r="Q64" s="6">
        <v>23</v>
      </c>
      <c r="R64" s="6">
        <v>23</v>
      </c>
      <c r="S64" s="6">
        <v>23</v>
      </c>
      <c r="T64" s="6">
        <v>23</v>
      </c>
      <c r="U64" s="6">
        <v>23</v>
      </c>
      <c r="V64" s="6">
        <v>23</v>
      </c>
      <c r="W64" s="6"/>
      <c r="X64" s="6"/>
      <c r="Y64" s="6"/>
      <c r="Z64" s="6"/>
      <c r="AA64" s="6"/>
      <c r="AB64" s="6"/>
      <c r="AC64" s="6">
        <f t="shared" si="26"/>
        <v>138</v>
      </c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>
        <f t="shared" si="22"/>
        <v>0</v>
      </c>
    </row>
    <row r="65" spans="1:43" x14ac:dyDescent="0.15">
      <c r="A65" s="17" t="s">
        <v>35</v>
      </c>
      <c r="B65" s="10"/>
      <c r="C65" s="11">
        <f t="shared" ref="C65:O65" si="28">SUM(C57:C64)</f>
        <v>-3891022</v>
      </c>
      <c r="D65" s="11">
        <f t="shared" si="28"/>
        <v>-4280399.2</v>
      </c>
      <c r="E65" s="11">
        <f t="shared" si="28"/>
        <v>-4365783.4640000006</v>
      </c>
      <c r="F65" s="11">
        <f t="shared" si="28"/>
        <v>-3460387.81152</v>
      </c>
      <c r="G65" s="11">
        <f t="shared" si="28"/>
        <v>-3979269.4152896004</v>
      </c>
      <c r="H65" s="11">
        <f t="shared" si="28"/>
        <v>-4376599.5568185616</v>
      </c>
      <c r="I65" s="11">
        <f t="shared" si="28"/>
        <v>-4158671.4289776334</v>
      </c>
      <c r="J65" s="11">
        <f t="shared" si="28"/>
        <v>-4966416</v>
      </c>
      <c r="K65" s="11">
        <f t="shared" si="28"/>
        <v>-4303978.8689918499</v>
      </c>
      <c r="L65" s="11">
        <f t="shared" si="28"/>
        <v>-3788172.9647128284</v>
      </c>
      <c r="M65" s="11">
        <f t="shared" si="28"/>
        <v>-3599108.2664771862</v>
      </c>
      <c r="N65" s="11">
        <f t="shared" si="28"/>
        <v>-2978714.2298010401</v>
      </c>
      <c r="O65" s="11">
        <f t="shared" si="28"/>
        <v>-48148523.2065887</v>
      </c>
      <c r="Q65" s="11" t="e">
        <f t="shared" ref="Q65:AC65" si="29">SUM(Q57:Q64)</f>
        <v>#REF!</v>
      </c>
      <c r="R65" s="11" t="e">
        <f t="shared" si="29"/>
        <v>#REF!</v>
      </c>
      <c r="S65" s="11" t="e">
        <f t="shared" si="29"/>
        <v>#REF!</v>
      </c>
      <c r="T65" s="11" t="e">
        <f t="shared" si="29"/>
        <v>#REF!</v>
      </c>
      <c r="U65" s="11" t="e">
        <f t="shared" si="29"/>
        <v>#REF!</v>
      </c>
      <c r="V65" s="11" t="e">
        <f t="shared" si="29"/>
        <v>#REF!</v>
      </c>
      <c r="W65" s="11">
        <f t="shared" si="29"/>
        <v>0</v>
      </c>
      <c r="X65" s="11">
        <f>SUM(X57:X64)</f>
        <v>0</v>
      </c>
      <c r="Y65" s="11">
        <f>SUM(Y57:Y64)</f>
        <v>0</v>
      </c>
      <c r="Z65" s="11">
        <f>SUM(Z57:Z64)</f>
        <v>0</v>
      </c>
      <c r="AA65" s="11">
        <f>SUM(AA57:AA64)</f>
        <v>0</v>
      </c>
      <c r="AB65" s="11">
        <f>SUM(AB57:AB64)</f>
        <v>0</v>
      </c>
      <c r="AC65" s="11" t="e">
        <f t="shared" si="29"/>
        <v>#REF!</v>
      </c>
      <c r="AE65" s="11">
        <f t="shared" ref="AE65:AP65" si="30">SUM(AE57:AE64)</f>
        <v>0</v>
      </c>
      <c r="AF65" s="11">
        <f t="shared" si="30"/>
        <v>0</v>
      </c>
      <c r="AG65" s="11">
        <f t="shared" si="30"/>
        <v>0</v>
      </c>
      <c r="AH65" s="11">
        <f t="shared" si="30"/>
        <v>0</v>
      </c>
      <c r="AI65" s="11">
        <f t="shared" si="30"/>
        <v>0</v>
      </c>
      <c r="AJ65" s="11">
        <f t="shared" si="30"/>
        <v>0</v>
      </c>
      <c r="AK65" s="11">
        <f t="shared" si="30"/>
        <v>0</v>
      </c>
      <c r="AL65" s="11">
        <f t="shared" si="30"/>
        <v>0</v>
      </c>
      <c r="AM65" s="11">
        <f t="shared" si="30"/>
        <v>0</v>
      </c>
      <c r="AN65" s="11">
        <f t="shared" si="30"/>
        <v>0</v>
      </c>
      <c r="AO65" s="11">
        <f t="shared" si="30"/>
        <v>0</v>
      </c>
      <c r="AP65" s="11">
        <f t="shared" si="30"/>
        <v>0</v>
      </c>
      <c r="AQ65" s="11">
        <f>SUM(AQ57:AQ64)</f>
        <v>0</v>
      </c>
    </row>
    <row r="66" spans="1:43" x14ac:dyDescent="0.15">
      <c r="A66" s="17"/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</row>
    <row r="67" spans="1:43" x14ac:dyDescent="0.15">
      <c r="A67" s="17" t="s">
        <v>47</v>
      </c>
      <c r="B67" s="10"/>
      <c r="C67" s="6" t="e">
        <f t="shared" ref="C67:O67" si="31">+C38+C45+C52+C65</f>
        <v>#REF!</v>
      </c>
      <c r="D67" s="6" t="e">
        <f t="shared" si="31"/>
        <v>#REF!</v>
      </c>
      <c r="E67" s="6" t="e">
        <f t="shared" si="31"/>
        <v>#REF!</v>
      </c>
      <c r="F67" s="6" t="e">
        <f t="shared" si="31"/>
        <v>#REF!</v>
      </c>
      <c r="G67" s="6" t="e">
        <f t="shared" si="31"/>
        <v>#REF!</v>
      </c>
      <c r="H67" s="6" t="e">
        <f t="shared" si="31"/>
        <v>#REF!</v>
      </c>
      <c r="I67" s="6" t="e">
        <f t="shared" si="31"/>
        <v>#REF!</v>
      </c>
      <c r="J67" s="6" t="e">
        <f t="shared" si="31"/>
        <v>#REF!</v>
      </c>
      <c r="K67" s="6" t="e">
        <f t="shared" si="31"/>
        <v>#REF!</v>
      </c>
      <c r="L67" s="6" t="e">
        <f t="shared" si="31"/>
        <v>#REF!</v>
      </c>
      <c r="M67" s="6" t="e">
        <f t="shared" si="31"/>
        <v>#REF!</v>
      </c>
      <c r="N67" s="6" t="e">
        <f t="shared" si="31"/>
        <v>#REF!</v>
      </c>
      <c r="O67" s="6" t="e">
        <f t="shared" si="31"/>
        <v>#REF!</v>
      </c>
      <c r="Q67" s="6" t="e">
        <f t="shared" ref="Q67:AC67" si="32">+Q38+Q45+Q52+Q65</f>
        <v>#REF!</v>
      </c>
      <c r="R67" s="6" t="e">
        <f t="shared" si="32"/>
        <v>#REF!</v>
      </c>
      <c r="S67" s="6" t="e">
        <f t="shared" si="32"/>
        <v>#REF!</v>
      </c>
      <c r="T67" s="6" t="e">
        <f t="shared" si="32"/>
        <v>#REF!</v>
      </c>
      <c r="U67" s="6" t="e">
        <f t="shared" si="32"/>
        <v>#REF!</v>
      </c>
      <c r="V67" s="6" t="e">
        <f t="shared" si="32"/>
        <v>#REF!</v>
      </c>
      <c r="W67" s="6">
        <f t="shared" si="32"/>
        <v>0</v>
      </c>
      <c r="X67" s="6">
        <f>+X38+X45+X52+X65</f>
        <v>0</v>
      </c>
      <c r="Y67" s="6">
        <f>+Y38+Y45+Y52+Y65</f>
        <v>0</v>
      </c>
      <c r="Z67" s="6">
        <f>+Z38+Z45+Z52+Z65</f>
        <v>0</v>
      </c>
      <c r="AA67" s="6">
        <f>+AA38+AA45+AA52+AA65</f>
        <v>0</v>
      </c>
      <c r="AB67" s="6">
        <f>+AB38+AB45+AB52+AB65</f>
        <v>0</v>
      </c>
      <c r="AC67" s="6" t="e">
        <f t="shared" si="32"/>
        <v>#REF!</v>
      </c>
      <c r="AE67" s="6">
        <f t="shared" ref="AE67:AP67" si="33">+AE38+AE45+AE52+AE65</f>
        <v>0</v>
      </c>
      <c r="AF67" s="6">
        <f t="shared" si="33"/>
        <v>0</v>
      </c>
      <c r="AG67" s="6">
        <f t="shared" si="33"/>
        <v>0</v>
      </c>
      <c r="AH67" s="6">
        <f t="shared" si="33"/>
        <v>0</v>
      </c>
      <c r="AI67" s="6">
        <f t="shared" si="33"/>
        <v>0</v>
      </c>
      <c r="AJ67" s="6">
        <f t="shared" si="33"/>
        <v>0</v>
      </c>
      <c r="AK67" s="6">
        <f t="shared" si="33"/>
        <v>0</v>
      </c>
      <c r="AL67" s="6">
        <f t="shared" si="33"/>
        <v>0</v>
      </c>
      <c r="AM67" s="6">
        <f t="shared" si="33"/>
        <v>0</v>
      </c>
      <c r="AN67" s="6">
        <f t="shared" si="33"/>
        <v>0</v>
      </c>
      <c r="AO67" s="6">
        <f t="shared" si="33"/>
        <v>0</v>
      </c>
      <c r="AP67" s="6">
        <f t="shared" si="33"/>
        <v>0</v>
      </c>
      <c r="AQ67" s="6">
        <f>+AQ38+AQ45+AQ52+AQ65</f>
        <v>0</v>
      </c>
    </row>
    <row r="68" spans="1:43" x14ac:dyDescent="0.15">
      <c r="A68" s="17"/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1:43" x14ac:dyDescent="0.1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ht="14" thickBot="1" x14ac:dyDescent="0.2">
      <c r="A70" s="17" t="s">
        <v>48</v>
      </c>
      <c r="B70" s="10"/>
      <c r="C70" s="18" t="e">
        <f t="shared" ref="C70:O70" si="34">+C9+C67</f>
        <v>#REF!</v>
      </c>
      <c r="D70" s="18" t="e">
        <f t="shared" si="34"/>
        <v>#REF!</v>
      </c>
      <c r="E70" s="18" t="e">
        <f t="shared" si="34"/>
        <v>#REF!</v>
      </c>
      <c r="F70" s="18" t="e">
        <f t="shared" si="34"/>
        <v>#REF!</v>
      </c>
      <c r="G70" s="18" t="e">
        <f t="shared" si="34"/>
        <v>#REF!</v>
      </c>
      <c r="H70" s="18" t="e">
        <f t="shared" si="34"/>
        <v>#REF!</v>
      </c>
      <c r="I70" s="18" t="e">
        <f t="shared" si="34"/>
        <v>#REF!</v>
      </c>
      <c r="J70" s="18" t="e">
        <f t="shared" si="34"/>
        <v>#REF!</v>
      </c>
      <c r="K70" s="18" t="e">
        <f t="shared" si="34"/>
        <v>#REF!</v>
      </c>
      <c r="L70" s="18" t="e">
        <f t="shared" si="34"/>
        <v>#REF!</v>
      </c>
      <c r="M70" s="18" t="e">
        <f t="shared" si="34"/>
        <v>#REF!</v>
      </c>
      <c r="N70" s="18" t="e">
        <f t="shared" si="34"/>
        <v>#REF!</v>
      </c>
      <c r="O70" s="18" t="e">
        <f t="shared" si="34"/>
        <v>#REF!</v>
      </c>
      <c r="Q70" s="18" t="e">
        <f t="shared" ref="Q70:AC70" si="35">+Q9+Q67</f>
        <v>#REF!</v>
      </c>
      <c r="R70" s="18" t="e">
        <f t="shared" si="35"/>
        <v>#REF!</v>
      </c>
      <c r="S70" s="18" t="e">
        <f t="shared" si="35"/>
        <v>#REF!</v>
      </c>
      <c r="T70" s="18" t="e">
        <f t="shared" si="35"/>
        <v>#REF!</v>
      </c>
      <c r="U70" s="18" t="e">
        <f t="shared" si="35"/>
        <v>#REF!</v>
      </c>
      <c r="V70" s="18" t="e">
        <f t="shared" si="35"/>
        <v>#REF!</v>
      </c>
      <c r="W70" s="18" t="e">
        <f t="shared" si="35"/>
        <v>#REF!</v>
      </c>
      <c r="X70" s="18" t="e">
        <f>+X9+X67</f>
        <v>#REF!</v>
      </c>
      <c r="Y70" s="18" t="e">
        <f>+Y9+Y67</f>
        <v>#REF!</v>
      </c>
      <c r="Z70" s="18" t="e">
        <f>+Z9+Z67</f>
        <v>#REF!</v>
      </c>
      <c r="AA70" s="18" t="e">
        <f>+AA9+AA67</f>
        <v>#REF!</v>
      </c>
      <c r="AB70" s="18" t="e">
        <f>+AB9+AB67</f>
        <v>#REF!</v>
      </c>
      <c r="AC70" s="18" t="e">
        <f t="shared" si="35"/>
        <v>#REF!</v>
      </c>
      <c r="AE70" s="18" t="e">
        <f t="shared" ref="AE70:AP70" si="36">+AE9+AE67</f>
        <v>#REF!</v>
      </c>
      <c r="AF70" s="18" t="e">
        <f t="shared" si="36"/>
        <v>#REF!</v>
      </c>
      <c r="AG70" s="18" t="e">
        <f t="shared" si="36"/>
        <v>#REF!</v>
      </c>
      <c r="AH70" s="18" t="e">
        <f t="shared" si="36"/>
        <v>#REF!</v>
      </c>
      <c r="AI70" s="18" t="e">
        <f t="shared" si="36"/>
        <v>#REF!</v>
      </c>
      <c r="AJ70" s="18" t="e">
        <f t="shared" si="36"/>
        <v>#REF!</v>
      </c>
      <c r="AK70" s="18" t="e">
        <f t="shared" si="36"/>
        <v>#REF!</v>
      </c>
      <c r="AL70" s="18" t="e">
        <f t="shared" si="36"/>
        <v>#REF!</v>
      </c>
      <c r="AM70" s="18" t="e">
        <f t="shared" si="36"/>
        <v>#REF!</v>
      </c>
      <c r="AN70" s="18" t="e">
        <f t="shared" si="36"/>
        <v>#REF!</v>
      </c>
      <c r="AO70" s="18" t="e">
        <f t="shared" si="36"/>
        <v>#REF!</v>
      </c>
      <c r="AP70" s="18" t="e">
        <f t="shared" si="36"/>
        <v>#REF!</v>
      </c>
      <c r="AQ70" s="18" t="e">
        <f>+AQ9+AQ67</f>
        <v>#REF!</v>
      </c>
    </row>
    <row r="71" spans="1:43" ht="14" thickTop="1" x14ac:dyDescent="0.15">
      <c r="A71" s="10"/>
      <c r="B71" s="10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15">
      <c r="A72" s="17" t="s">
        <v>49</v>
      </c>
      <c r="B72" s="10"/>
      <c r="C72" s="19">
        <v>15000</v>
      </c>
      <c r="D72" s="19">
        <f t="shared" ref="D72:O72" si="37">+C72</f>
        <v>15000</v>
      </c>
      <c r="E72" s="19">
        <f t="shared" si="37"/>
        <v>15000</v>
      </c>
      <c r="F72" s="19">
        <f t="shared" si="37"/>
        <v>15000</v>
      </c>
      <c r="G72" s="19">
        <f t="shared" si="37"/>
        <v>15000</v>
      </c>
      <c r="H72" s="19">
        <f t="shared" si="37"/>
        <v>15000</v>
      </c>
      <c r="I72" s="19">
        <f t="shared" si="37"/>
        <v>15000</v>
      </c>
      <c r="J72" s="19">
        <f t="shared" si="37"/>
        <v>15000</v>
      </c>
      <c r="K72" s="19">
        <f t="shared" si="37"/>
        <v>15000</v>
      </c>
      <c r="L72" s="19">
        <f t="shared" si="37"/>
        <v>15000</v>
      </c>
      <c r="M72" s="19">
        <f t="shared" si="37"/>
        <v>15000</v>
      </c>
      <c r="N72" s="19">
        <f t="shared" si="37"/>
        <v>15000</v>
      </c>
      <c r="O72" s="19">
        <f t="shared" si="37"/>
        <v>15000</v>
      </c>
      <c r="Q72" s="19">
        <v>15000</v>
      </c>
      <c r="R72" s="19">
        <f t="shared" ref="R72:AC72" si="38">+Q72</f>
        <v>15000</v>
      </c>
      <c r="S72" s="19">
        <f t="shared" si="38"/>
        <v>15000</v>
      </c>
      <c r="T72" s="19">
        <f t="shared" si="38"/>
        <v>15000</v>
      </c>
      <c r="U72" s="19">
        <f t="shared" si="38"/>
        <v>15000</v>
      </c>
      <c r="V72" s="19">
        <f t="shared" si="38"/>
        <v>15000</v>
      </c>
      <c r="W72" s="19">
        <f t="shared" si="38"/>
        <v>15000</v>
      </c>
      <c r="X72" s="19">
        <f>+W72</f>
        <v>15000</v>
      </c>
      <c r="Y72" s="19">
        <f>+X72</f>
        <v>15000</v>
      </c>
      <c r="Z72" s="19">
        <f>+Y72</f>
        <v>15000</v>
      </c>
      <c r="AA72" s="19">
        <f>+Z72</f>
        <v>15000</v>
      </c>
      <c r="AB72" s="19">
        <f>+AA72</f>
        <v>15000</v>
      </c>
      <c r="AC72" s="19">
        <f t="shared" si="38"/>
        <v>15000</v>
      </c>
      <c r="AE72" s="19">
        <f t="shared" ref="AE72:AQ72" si="39">+AD72</f>
        <v>0</v>
      </c>
      <c r="AF72" s="19">
        <f t="shared" si="39"/>
        <v>0</v>
      </c>
      <c r="AG72" s="19">
        <f t="shared" si="39"/>
        <v>0</v>
      </c>
      <c r="AH72" s="19">
        <f t="shared" si="39"/>
        <v>0</v>
      </c>
      <c r="AI72" s="19">
        <f t="shared" si="39"/>
        <v>0</v>
      </c>
      <c r="AJ72" s="19">
        <f t="shared" si="39"/>
        <v>0</v>
      </c>
      <c r="AK72" s="19">
        <f t="shared" si="39"/>
        <v>0</v>
      </c>
      <c r="AL72" s="19">
        <f t="shared" si="39"/>
        <v>0</v>
      </c>
      <c r="AM72" s="19">
        <f t="shared" si="39"/>
        <v>0</v>
      </c>
      <c r="AN72" s="19">
        <f t="shared" si="39"/>
        <v>0</v>
      </c>
      <c r="AO72" s="19">
        <f t="shared" si="39"/>
        <v>0</v>
      </c>
      <c r="AP72" s="19">
        <f t="shared" si="39"/>
        <v>0</v>
      </c>
      <c r="AQ72" s="19">
        <f t="shared" si="39"/>
        <v>0</v>
      </c>
    </row>
    <row r="73" spans="1:43" x14ac:dyDescent="0.15">
      <c r="A73" s="10" t="s">
        <v>50</v>
      </c>
      <c r="B73" s="10"/>
      <c r="C73" s="20" t="e">
        <f t="shared" ref="C73:O73" si="40">+C70-C72</f>
        <v>#REF!</v>
      </c>
      <c r="D73" s="20" t="e">
        <f t="shared" si="40"/>
        <v>#REF!</v>
      </c>
      <c r="E73" s="20" t="e">
        <f t="shared" si="40"/>
        <v>#REF!</v>
      </c>
      <c r="F73" s="20" t="e">
        <f t="shared" si="40"/>
        <v>#REF!</v>
      </c>
      <c r="G73" s="20" t="e">
        <f t="shared" si="40"/>
        <v>#REF!</v>
      </c>
      <c r="H73" s="20" t="e">
        <f t="shared" si="40"/>
        <v>#REF!</v>
      </c>
      <c r="I73" s="20" t="e">
        <f t="shared" si="40"/>
        <v>#REF!</v>
      </c>
      <c r="J73" s="20" t="e">
        <f t="shared" si="40"/>
        <v>#REF!</v>
      </c>
      <c r="K73" s="20" t="e">
        <f t="shared" si="40"/>
        <v>#REF!</v>
      </c>
      <c r="L73" s="20" t="e">
        <f t="shared" si="40"/>
        <v>#REF!</v>
      </c>
      <c r="M73" s="20" t="e">
        <f t="shared" si="40"/>
        <v>#REF!</v>
      </c>
      <c r="N73" s="20" t="e">
        <f t="shared" si="40"/>
        <v>#REF!</v>
      </c>
      <c r="O73" s="20" t="e">
        <f t="shared" si="40"/>
        <v>#REF!</v>
      </c>
      <c r="Q73" s="20" t="e">
        <f t="shared" ref="Q73:AC73" si="41">+Q70-Q72</f>
        <v>#REF!</v>
      </c>
      <c r="R73" s="20" t="e">
        <f t="shared" si="41"/>
        <v>#REF!</v>
      </c>
      <c r="S73" s="20" t="e">
        <f t="shared" si="41"/>
        <v>#REF!</v>
      </c>
      <c r="T73" s="20" t="e">
        <f t="shared" si="41"/>
        <v>#REF!</v>
      </c>
      <c r="U73" s="20" t="e">
        <f t="shared" si="41"/>
        <v>#REF!</v>
      </c>
      <c r="V73" s="20" t="e">
        <f t="shared" si="41"/>
        <v>#REF!</v>
      </c>
      <c r="W73" s="20" t="e">
        <f t="shared" si="41"/>
        <v>#REF!</v>
      </c>
      <c r="X73" s="20" t="e">
        <f>+X70-X72</f>
        <v>#REF!</v>
      </c>
      <c r="Y73" s="20" t="e">
        <f>+Y70-Y72</f>
        <v>#REF!</v>
      </c>
      <c r="Z73" s="20" t="e">
        <f>+Z70-Z72</f>
        <v>#REF!</v>
      </c>
      <c r="AA73" s="20" t="e">
        <f>+AA70-AA72</f>
        <v>#REF!</v>
      </c>
      <c r="AB73" s="20" t="e">
        <f>+AB70-AB72</f>
        <v>#REF!</v>
      </c>
      <c r="AC73" s="20" t="e">
        <f t="shared" si="41"/>
        <v>#REF!</v>
      </c>
      <c r="AE73" s="20" t="e">
        <f t="shared" ref="AE73:AP73" si="42">+AE70-AE72</f>
        <v>#REF!</v>
      </c>
      <c r="AF73" s="20" t="e">
        <f t="shared" si="42"/>
        <v>#REF!</v>
      </c>
      <c r="AG73" s="20" t="e">
        <f t="shared" si="42"/>
        <v>#REF!</v>
      </c>
      <c r="AH73" s="20" t="e">
        <f t="shared" si="42"/>
        <v>#REF!</v>
      </c>
      <c r="AI73" s="20" t="e">
        <f t="shared" si="42"/>
        <v>#REF!</v>
      </c>
      <c r="AJ73" s="20" t="e">
        <f t="shared" si="42"/>
        <v>#REF!</v>
      </c>
      <c r="AK73" s="20" t="e">
        <f t="shared" si="42"/>
        <v>#REF!</v>
      </c>
      <c r="AL73" s="20" t="e">
        <f t="shared" si="42"/>
        <v>#REF!</v>
      </c>
      <c r="AM73" s="20" t="e">
        <f t="shared" si="42"/>
        <v>#REF!</v>
      </c>
      <c r="AN73" s="20" t="e">
        <f t="shared" si="42"/>
        <v>#REF!</v>
      </c>
      <c r="AO73" s="20" t="e">
        <f t="shared" si="42"/>
        <v>#REF!</v>
      </c>
      <c r="AP73" s="20" t="e">
        <f t="shared" si="42"/>
        <v>#REF!</v>
      </c>
      <c r="AQ73" s="20" t="e">
        <f>+AQ70-AQ72</f>
        <v>#REF!</v>
      </c>
    </row>
  </sheetData>
  <pageMargins left="0.75" right="0.75" top="1" bottom="1" header="0.5" footer="0.5"/>
  <pageSetup scale="78" orientation="landscape" horizontalDpi="300"/>
  <headerFooter alignWithMargins="0"/>
  <rowBreaks count="2" manualBreakCount="2">
    <brk id="39" max="16383" man="1"/>
    <brk id="7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49"/>
  <sheetViews>
    <sheetView workbookViewId="0">
      <pane xSplit="2" ySplit="7" topLeftCell="C29" activePane="bottomRight" state="frozen"/>
      <selection activeCell="J61" sqref="J61"/>
      <selection pane="topRight" activeCell="J61" sqref="J61"/>
      <selection pane="bottomLeft" activeCell="J61" sqref="J61"/>
      <selection pane="bottomRight" activeCell="J61" sqref="J61"/>
    </sheetView>
  </sheetViews>
  <sheetFormatPr baseColWidth="10" defaultColWidth="8.83203125" defaultRowHeight="13" outlineLevelCol="1" x14ac:dyDescent="0.15"/>
  <cols>
    <col min="1" max="1" width="26" customWidth="1"/>
    <col min="2" max="2" width="8.5" customWidth="1"/>
    <col min="3" max="3" width="12.33203125" bestFit="1" customWidth="1" outlineLevel="1"/>
    <col min="4" max="4" width="9.6640625" customWidth="1" outlineLevel="1"/>
    <col min="5" max="5" width="10.33203125" customWidth="1" outlineLevel="1"/>
    <col min="6" max="6" width="10.1640625" customWidth="1" outlineLevel="1"/>
    <col min="7" max="7" width="10.33203125" customWidth="1" outlineLevel="1"/>
    <col min="8" max="8" width="10.5" customWidth="1" outlineLevel="1"/>
    <col min="9" max="9" width="10.1640625" customWidth="1" outlineLevel="1"/>
    <col min="10" max="10" width="9.6640625" customWidth="1" outlineLevel="1"/>
    <col min="11" max="14" width="9.5" customWidth="1" outlineLevel="1"/>
    <col min="15" max="15" width="11.33203125" bestFit="1" customWidth="1"/>
    <col min="16" max="16" width="2.83203125" customWidth="1"/>
    <col min="17" max="21" width="9.6640625" bestFit="1" customWidth="1" outlineLevel="1"/>
    <col min="22" max="22" width="12" customWidth="1" outlineLevel="1"/>
  </cols>
  <sheetData>
    <row r="1" spans="1:22" x14ac:dyDescent="0.15">
      <c r="A1" s="1" t="str">
        <f>+'IS Actual &amp; Forecast'!A1</f>
        <v>ABC Construction Company</v>
      </c>
    </row>
    <row r="2" spans="1:22" ht="20" x14ac:dyDescent="0.2">
      <c r="A2" s="2" t="s">
        <v>79</v>
      </c>
      <c r="H2" s="38" t="s">
        <v>82</v>
      </c>
      <c r="V2" s="38" t="s">
        <v>84</v>
      </c>
    </row>
    <row r="3" spans="1:22" x14ac:dyDescent="0.15">
      <c r="A3" s="1"/>
    </row>
    <row r="4" spans="1:22" ht="14" x14ac:dyDescent="0.2">
      <c r="A4" s="1"/>
      <c r="C4" s="27" t="s">
        <v>51</v>
      </c>
      <c r="D4" s="27" t="s">
        <v>51</v>
      </c>
      <c r="E4" s="27" t="s">
        <v>51</v>
      </c>
      <c r="F4" s="27" t="s">
        <v>51</v>
      </c>
      <c r="G4" s="27" t="s">
        <v>51</v>
      </c>
      <c r="H4" s="27" t="s">
        <v>51</v>
      </c>
      <c r="I4" s="27" t="s">
        <v>51</v>
      </c>
    </row>
    <row r="5" spans="1:22" ht="14" x14ac:dyDescent="0.2">
      <c r="C5" s="27"/>
      <c r="D5" s="27"/>
      <c r="E5" s="27"/>
      <c r="F5" s="27"/>
      <c r="G5" s="27"/>
      <c r="H5" s="27"/>
      <c r="I5" s="27"/>
    </row>
    <row r="6" spans="1:22" x14ac:dyDescent="0.15">
      <c r="A6" s="3"/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</row>
    <row r="7" spans="1:22" x14ac:dyDescent="0.15">
      <c r="C7" s="52">
        <v>41640</v>
      </c>
      <c r="D7" s="52">
        <f>+C7+31</f>
        <v>41671</v>
      </c>
      <c r="E7" s="52">
        <f t="shared" ref="E7:N7" si="0">+D7+31</f>
        <v>41702</v>
      </c>
      <c r="F7" s="52">
        <f t="shared" si="0"/>
        <v>41733</v>
      </c>
      <c r="G7" s="52">
        <f t="shared" si="0"/>
        <v>41764</v>
      </c>
      <c r="H7" s="52">
        <f t="shared" si="0"/>
        <v>41795</v>
      </c>
      <c r="I7" s="52">
        <f t="shared" si="0"/>
        <v>41826</v>
      </c>
      <c r="J7" s="52">
        <f t="shared" si="0"/>
        <v>41857</v>
      </c>
      <c r="K7" s="52">
        <f t="shared" si="0"/>
        <v>41888</v>
      </c>
      <c r="L7" s="52">
        <f t="shared" si="0"/>
        <v>41919</v>
      </c>
      <c r="M7" s="52">
        <f t="shared" si="0"/>
        <v>41950</v>
      </c>
      <c r="N7" s="52">
        <f t="shared" si="0"/>
        <v>41981</v>
      </c>
      <c r="O7" s="4" t="s">
        <v>82</v>
      </c>
      <c r="Q7" s="52">
        <v>42005</v>
      </c>
      <c r="R7" s="52">
        <f>+Q7+31</f>
        <v>42036</v>
      </c>
      <c r="S7" s="52">
        <f t="shared" ref="S7:V7" si="1">+R7+31</f>
        <v>42067</v>
      </c>
      <c r="T7" s="52">
        <f t="shared" si="1"/>
        <v>42098</v>
      </c>
      <c r="U7" s="52">
        <f t="shared" si="1"/>
        <v>42129</v>
      </c>
      <c r="V7" s="52">
        <f t="shared" si="1"/>
        <v>42160</v>
      </c>
    </row>
    <row r="8" spans="1:22" x14ac:dyDescent="0.15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Q8" s="41"/>
      <c r="R8" s="41"/>
      <c r="S8" s="41"/>
      <c r="T8" s="41"/>
      <c r="U8" s="41"/>
      <c r="V8" s="41"/>
    </row>
    <row r="9" spans="1:22" x14ac:dyDescent="0.15">
      <c r="A9" t="s">
        <v>97</v>
      </c>
      <c r="C9" s="45">
        <f>+'IS Actual &amp; Forecast'!C9</f>
        <v>15</v>
      </c>
      <c r="D9" s="45">
        <f>+'IS Actual &amp; Forecast'!D9</f>
        <v>16</v>
      </c>
      <c r="E9" s="45">
        <f>+'IS Actual &amp; Forecast'!E9</f>
        <v>14</v>
      </c>
      <c r="F9" s="45">
        <f>+'IS Actual &amp; Forecast'!F9</f>
        <v>15</v>
      </c>
      <c r="G9" s="45">
        <f>+'IS Actual &amp; Forecast'!G9</f>
        <v>15</v>
      </c>
      <c r="H9" s="45">
        <f>+'IS Actual &amp; Forecast'!H9</f>
        <v>17</v>
      </c>
      <c r="I9" s="45">
        <f>+'IS Actual &amp; Forecast'!I9</f>
        <v>19</v>
      </c>
      <c r="J9" s="45">
        <f>+'IS Actual &amp; Forecast'!J9</f>
        <v>19</v>
      </c>
      <c r="K9" s="45">
        <f>+'IS Actual &amp; Forecast'!K9</f>
        <v>15</v>
      </c>
      <c r="L9" s="45">
        <f>+'IS Actual &amp; Forecast'!L9</f>
        <v>14</v>
      </c>
      <c r="M9" s="45">
        <f>+'IS Actual &amp; Forecast'!M9</f>
        <v>15</v>
      </c>
      <c r="N9" s="45">
        <f>+'IS Actual &amp; Forecast'!N9</f>
        <v>15</v>
      </c>
      <c r="O9" s="8">
        <f>SUM(C9:N9)</f>
        <v>189</v>
      </c>
      <c r="Q9" s="45">
        <f>+'IS Actual &amp; Forecast'!Q9</f>
        <v>15</v>
      </c>
      <c r="R9" s="45">
        <f>+'IS Actual &amp; Forecast'!R9</f>
        <v>13</v>
      </c>
      <c r="S9" s="45">
        <f>+'IS Actual &amp; Forecast'!S9</f>
        <v>16</v>
      </c>
      <c r="T9" s="45">
        <f>+'IS Actual &amp; Forecast'!T9</f>
        <v>18</v>
      </c>
      <c r="U9" s="45">
        <f>+'IS Actual &amp; Forecast'!U9</f>
        <v>17</v>
      </c>
      <c r="V9" s="45">
        <f>+'IS Actual &amp; Forecast'!V9</f>
        <v>15</v>
      </c>
    </row>
    <row r="10" spans="1:22" x14ac:dyDescent="0.15">
      <c r="A10" t="s">
        <v>98</v>
      </c>
      <c r="C10" s="49">
        <f>+'IS Actual &amp; Forecast'!C10</f>
        <v>129550.39999999999</v>
      </c>
      <c r="D10" s="49">
        <f>+'IS Actual &amp; Forecast'!D10</f>
        <v>133598.85</v>
      </c>
      <c r="E10" s="49">
        <f>+'IS Actual &amp; Forecast'!E10</f>
        <v>155738.08800000002</v>
      </c>
      <c r="F10" s="49">
        <f>+'IS Actual &amp; Forecast'!F10</f>
        <v>115180.660384</v>
      </c>
      <c r="G10" s="49">
        <f>+'IS Actual &amp; Forecast'!G10</f>
        <v>132477.04717632002</v>
      </c>
      <c r="H10" s="49">
        <f>+'IS Actual &amp; Forecast'!H10</f>
        <v>128580.66343584005</v>
      </c>
      <c r="I10" s="49">
        <f>+'IS Actual &amp; Forecast'!I10</f>
        <v>109293.56392046403</v>
      </c>
      <c r="J10" s="49">
        <f>+'IS Actual &amp; Forecast'!J10</f>
        <v>130550.89473684211</v>
      </c>
      <c r="K10" s="49">
        <f>+'IS Actual &amp; Forecast'!K10</f>
        <v>143283.86229972832</v>
      </c>
      <c r="L10" s="49">
        <f>+'IS Actual &amp; Forecast'!L10</f>
        <v>135096.21302545813</v>
      </c>
      <c r="M10" s="49">
        <f>+'IS Actual &amp; Forecast'!M10</f>
        <v>119785.30888257288</v>
      </c>
      <c r="N10" s="49">
        <f>+'IS Actual &amp; Forecast'!N10</f>
        <v>99107.907660034674</v>
      </c>
      <c r="O10" s="49">
        <f t="shared" ref="O10" si="2">+O13/O9</f>
        <v>127211.40530843571</v>
      </c>
      <c r="P10" s="56"/>
      <c r="Q10" s="49">
        <f>+'IS Actual &amp; Forecast'!Q10</f>
        <v>142591.66972823208</v>
      </c>
      <c r="R10" s="49">
        <f>+'IS Actual &amp; Forecast'!R10</f>
        <v>196529.30846153849</v>
      </c>
      <c r="S10" s="49">
        <f>+'IS Actual &amp; Forecast'!S10</f>
        <v>138358.47953317518</v>
      </c>
      <c r="T10" s="49">
        <f>+'IS Actual &amp; Forecast'!T10</f>
        <v>108227.07732372814</v>
      </c>
      <c r="U10" s="49">
        <f>+'IS Actual &amp; Forecast'!U10</f>
        <v>108863.70719033829</v>
      </c>
      <c r="V10" s="49">
        <f>+'IS Actual &amp; Forecast'!V10</f>
        <v>102081.14488983572</v>
      </c>
    </row>
    <row r="11" spans="1:22" x14ac:dyDescent="0.15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Q11" s="41"/>
      <c r="R11" s="41"/>
      <c r="S11" s="41"/>
      <c r="T11" s="41"/>
      <c r="U11" s="41"/>
      <c r="V11" s="41"/>
    </row>
    <row r="12" spans="1:22" x14ac:dyDescent="0.15">
      <c r="A12" s="9" t="s">
        <v>15</v>
      </c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Q12" s="8"/>
      <c r="R12" s="8"/>
      <c r="S12" s="8"/>
      <c r="T12" s="8"/>
      <c r="U12" s="8"/>
      <c r="V12" s="8"/>
    </row>
    <row r="13" spans="1:22" x14ac:dyDescent="0.15">
      <c r="A13" s="1" t="s">
        <v>16</v>
      </c>
      <c r="C13" s="8">
        <f>+'IS Actual &amp; Forecast'!C13</f>
        <v>1943256</v>
      </c>
      <c r="D13" s="8">
        <f>+'IS Actual &amp; Forecast'!D13</f>
        <v>2137581.6</v>
      </c>
      <c r="E13" s="8">
        <f>+'IS Actual &amp; Forecast'!E13</f>
        <v>2180333.2320000003</v>
      </c>
      <c r="F13" s="8">
        <f>+'IS Actual &amp; Forecast'!F13</f>
        <v>1727709.90576</v>
      </c>
      <c r="G13" s="8">
        <f>+'IS Actual &amp; Forecast'!G13</f>
        <v>1987155.7076448004</v>
      </c>
      <c r="H13" s="8">
        <f>+'IS Actual &amp; Forecast'!H13</f>
        <v>2185871.2784092808</v>
      </c>
      <c r="I13" s="8">
        <f>+'IS Actual &amp; Forecast'!I13</f>
        <v>2076577.7144888167</v>
      </c>
      <c r="J13" s="8">
        <f>+'IS Actual &amp; Forecast'!J13</f>
        <v>2480467</v>
      </c>
      <c r="K13" s="8">
        <f>+'IS Actual &amp; Forecast'!K13</f>
        <v>2149257.934495925</v>
      </c>
      <c r="L13" s="8">
        <f>+'IS Actual &amp; Forecast'!L13</f>
        <v>1891346.982356414</v>
      </c>
      <c r="M13" s="8">
        <f>+'IS Actual &amp; Forecast'!M13</f>
        <v>1796779.6332385931</v>
      </c>
      <c r="N13" s="8">
        <f>+'IS Actual &amp; Forecast'!N13</f>
        <v>1486618.6149005201</v>
      </c>
      <c r="O13" s="8">
        <f>SUM(C13:N13)</f>
        <v>24042955.60329435</v>
      </c>
      <c r="Q13" s="8">
        <f>+'IS Actual &amp; Forecast'!Q13</f>
        <v>2138875.0459234812</v>
      </c>
      <c r="R13" s="8">
        <f>+'IS Actual &amp; Forecast'!R13</f>
        <v>2554881.0100000002</v>
      </c>
      <c r="S13" s="8">
        <f>+'IS Actual &amp; Forecast'!S13</f>
        <v>2213735.6725308029</v>
      </c>
      <c r="T13" s="8">
        <f>+'IS Actual &amp; Forecast'!T13</f>
        <v>1948087.3918271065</v>
      </c>
      <c r="U13" s="8">
        <f>+'IS Actual &amp; Forecast'!U13</f>
        <v>1850683.0222357509</v>
      </c>
      <c r="V13" s="8">
        <f>+'IS Actual &amp; Forecast'!V13</f>
        <v>1531217.1733475358</v>
      </c>
    </row>
    <row r="14" spans="1:22" x14ac:dyDescent="0.15">
      <c r="A14" s="1" t="s">
        <v>17</v>
      </c>
      <c r="C14" s="6">
        <f>+'IS Actual &amp; Forecast'!C14</f>
        <v>0</v>
      </c>
      <c r="D14" s="6">
        <f>+'IS Actual &amp; Forecast'!D14</f>
        <v>0</v>
      </c>
      <c r="E14" s="6">
        <f>+'IS Actual &amp; Forecast'!E14</f>
        <v>0</v>
      </c>
      <c r="F14" s="6">
        <f>+'IS Actual &amp; Forecast'!F14</f>
        <v>0</v>
      </c>
      <c r="G14" s="6">
        <f>+'IS Actual &amp; Forecast'!G14</f>
        <v>0</v>
      </c>
      <c r="H14" s="6">
        <f>+'IS Actual &amp; Forecast'!H14</f>
        <v>0</v>
      </c>
      <c r="I14" s="6">
        <f>+'IS Actual &amp; Forecast'!I14</f>
        <v>0</v>
      </c>
      <c r="J14" s="6">
        <f>+'IS Actual &amp; Forecast'!J14</f>
        <v>0</v>
      </c>
      <c r="K14" s="6">
        <f>+'IS Actual &amp; Forecast'!K14</f>
        <v>0</v>
      </c>
      <c r="L14" s="6">
        <f>+'IS Actual &amp; Forecast'!L14</f>
        <v>0</v>
      </c>
      <c r="M14" s="6">
        <f>+'IS Actual &amp; Forecast'!M14</f>
        <v>0</v>
      </c>
      <c r="N14" s="6">
        <f>+'IS Actual &amp; Forecast'!N14</f>
        <v>0</v>
      </c>
      <c r="O14" s="6">
        <f>SUM(C14:N14)</f>
        <v>0</v>
      </c>
      <c r="Q14" s="6">
        <f>+'IS Actual &amp; Forecast'!Q14</f>
        <v>0</v>
      </c>
      <c r="R14" s="6">
        <f>+'IS Actual &amp; Forecast'!R14</f>
        <v>0</v>
      </c>
      <c r="S14" s="6">
        <f>+'IS Actual &amp; Forecast'!S14</f>
        <v>0</v>
      </c>
      <c r="T14" s="6">
        <f>+'IS Actual &amp; Forecast'!T14</f>
        <v>0</v>
      </c>
      <c r="U14" s="6">
        <f>+'IS Actual &amp; Forecast'!U14</f>
        <v>0</v>
      </c>
      <c r="V14" s="6">
        <f>+'IS Actual &amp; Forecast'!V14</f>
        <v>0</v>
      </c>
    </row>
    <row r="15" spans="1:22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Q15" s="1"/>
      <c r="R15" s="1"/>
      <c r="S15" s="1"/>
      <c r="T15" s="1"/>
      <c r="U15" s="1"/>
      <c r="V15" s="1"/>
    </row>
    <row r="16" spans="1:22" x14ac:dyDescent="0.15">
      <c r="A16" s="1" t="s">
        <v>18</v>
      </c>
      <c r="C16" s="11">
        <f t="shared" ref="C16:O16" si="3">SUM(C13:C14)</f>
        <v>1943256</v>
      </c>
      <c r="D16" s="11">
        <f t="shared" ref="D16:N16" si="4">SUM(D13:D14)</f>
        <v>2137581.6</v>
      </c>
      <c r="E16" s="11">
        <f t="shared" si="4"/>
        <v>2180333.2320000003</v>
      </c>
      <c r="F16" s="11">
        <f t="shared" si="4"/>
        <v>1727709.90576</v>
      </c>
      <c r="G16" s="11">
        <f t="shared" si="4"/>
        <v>1987155.7076448004</v>
      </c>
      <c r="H16" s="11">
        <f t="shared" si="4"/>
        <v>2185871.2784092808</v>
      </c>
      <c r="I16" s="11">
        <f t="shared" si="4"/>
        <v>2076577.7144888167</v>
      </c>
      <c r="J16" s="11">
        <f t="shared" si="4"/>
        <v>2480467</v>
      </c>
      <c r="K16" s="11">
        <f t="shared" si="4"/>
        <v>2149257.934495925</v>
      </c>
      <c r="L16" s="11">
        <f t="shared" si="4"/>
        <v>1891346.982356414</v>
      </c>
      <c r="M16" s="11">
        <f t="shared" si="4"/>
        <v>1796779.6332385931</v>
      </c>
      <c r="N16" s="11">
        <f t="shared" si="4"/>
        <v>1486618.6149005201</v>
      </c>
      <c r="O16" s="11">
        <f t="shared" si="3"/>
        <v>24042955.60329435</v>
      </c>
      <c r="Q16" s="11">
        <f t="shared" ref="Q16:V16" si="5">SUM(Q13:Q14)</f>
        <v>2138875.0459234812</v>
      </c>
      <c r="R16" s="11">
        <f t="shared" si="5"/>
        <v>2554881.0100000002</v>
      </c>
      <c r="S16" s="11">
        <f t="shared" si="5"/>
        <v>2213735.6725308029</v>
      </c>
      <c r="T16" s="11">
        <f t="shared" si="5"/>
        <v>1948087.3918271065</v>
      </c>
      <c r="U16" s="11">
        <f t="shared" si="5"/>
        <v>1850683.0222357509</v>
      </c>
      <c r="V16" s="11">
        <f t="shared" si="5"/>
        <v>1531217.1733475358</v>
      </c>
    </row>
    <row r="17" spans="1:22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  <c r="V17" s="1"/>
    </row>
    <row r="18" spans="1:22" x14ac:dyDescent="0.15">
      <c r="A18" s="1" t="s">
        <v>19</v>
      </c>
      <c r="C18" s="6">
        <f>+'IS Actual &amp; Forecast'!C18</f>
        <v>1663427.1359999999</v>
      </c>
      <c r="D18" s="6">
        <f>+'IS Actual &amp; Forecast'!D18</f>
        <v>1791293.3807999999</v>
      </c>
      <c r="E18" s="6">
        <f>+'IS Actual &amp; Forecast'!E18</f>
        <v>1855463.5804320001</v>
      </c>
      <c r="F18" s="6">
        <f>+'IS Actual &amp; Forecast'!F18</f>
        <v>1489285.93876512</v>
      </c>
      <c r="G18" s="6">
        <f>+'IS Actual &amp; Forecast'!G18</f>
        <v>1683120.8843751459</v>
      </c>
      <c r="H18" s="6">
        <f>+'IS Actual &amp; Forecast'!H18</f>
        <v>1840503.6164206143</v>
      </c>
      <c r="I18" s="6">
        <f>+'IS Actual &amp; Forecast'!I18</f>
        <v>1731865.8138836729</v>
      </c>
      <c r="J18" s="6">
        <f>+'IS Actual &amp; Forecast'!J18</f>
        <v>2120799.2850000001</v>
      </c>
      <c r="K18" s="6">
        <f>+'IS Actual &amp; Forecast'!K18</f>
        <v>1818272.2125835526</v>
      </c>
      <c r="L18" s="6">
        <f>+'IS Actual &amp; Forecast'!L18</f>
        <v>1647363.2216324366</v>
      </c>
      <c r="M18" s="6">
        <f>+'IS Actual &amp; Forecast'!M18</f>
        <v>1520075.5697198496</v>
      </c>
      <c r="N18" s="6">
        <f>+'IS Actual &amp; Forecast'!N18</f>
        <v>1250246.2551313373</v>
      </c>
      <c r="O18" s="6">
        <f>SUM(C18:N18)</f>
        <v>20411716.894743733</v>
      </c>
      <c r="Q18" s="6">
        <f>+'IS Actual &amp; Forecast'!Q18</f>
        <v>1837293.6644482703</v>
      </c>
      <c r="R18" s="6">
        <f>+'IS Actual &amp; Forecast'!R18</f>
        <v>2143545.1673900001</v>
      </c>
      <c r="S18" s="6">
        <f>+'IS Actual &amp; Forecast'!S18</f>
        <v>1861751.7005984052</v>
      </c>
      <c r="T18" s="6">
        <f>+'IS Actual &amp; Forecast'!T18</f>
        <v>1698732.2056732369</v>
      </c>
      <c r="U18" s="6">
        <f>+'IS Actual &amp; Forecast'!U18</f>
        <v>1567528.5198336809</v>
      </c>
      <c r="V18" s="6">
        <f>+'IS Actual &amp; Forecast'!V18</f>
        <v>1303065.814518753</v>
      </c>
    </row>
    <row r="19" spans="1:22" x14ac:dyDescent="0.1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Q19" s="13"/>
      <c r="R19" s="13"/>
      <c r="S19" s="13"/>
      <c r="T19" s="13"/>
      <c r="U19" s="13"/>
      <c r="V19" s="13"/>
    </row>
    <row r="20" spans="1:22" x14ac:dyDescent="0.15">
      <c r="A20" t="s">
        <v>20</v>
      </c>
      <c r="C20" s="13">
        <f t="shared" ref="C20:O20" si="6">+C16-C18</f>
        <v>279828.86400000006</v>
      </c>
      <c r="D20" s="13">
        <f t="shared" ref="D20:N20" si="7">+D16-D18</f>
        <v>346288.21920000017</v>
      </c>
      <c r="E20" s="13">
        <f t="shared" si="7"/>
        <v>324869.6515680002</v>
      </c>
      <c r="F20" s="13">
        <f t="shared" si="7"/>
        <v>238423.96699488</v>
      </c>
      <c r="G20" s="13">
        <f t="shared" si="7"/>
        <v>304034.82326965453</v>
      </c>
      <c r="H20" s="13">
        <f t="shared" si="7"/>
        <v>345367.66198866651</v>
      </c>
      <c r="I20" s="13">
        <f t="shared" si="7"/>
        <v>344711.90060514375</v>
      </c>
      <c r="J20" s="13">
        <f t="shared" si="7"/>
        <v>359667.71499999985</v>
      </c>
      <c r="K20" s="13">
        <f t="shared" si="7"/>
        <v>330985.72191237239</v>
      </c>
      <c r="L20" s="13">
        <f t="shared" si="7"/>
        <v>243983.76072397735</v>
      </c>
      <c r="M20" s="13">
        <f t="shared" si="7"/>
        <v>276704.0635187435</v>
      </c>
      <c r="N20" s="13">
        <f t="shared" si="7"/>
        <v>236372.35976918275</v>
      </c>
      <c r="O20" s="13">
        <f t="shared" si="6"/>
        <v>3631238.7085506171</v>
      </c>
      <c r="Q20" s="13">
        <f t="shared" ref="Q20:V20" si="8">+Q16-Q18</f>
        <v>301581.38147521089</v>
      </c>
      <c r="R20" s="13">
        <f t="shared" si="8"/>
        <v>411335.84261000017</v>
      </c>
      <c r="S20" s="13">
        <f t="shared" si="8"/>
        <v>351983.97193239769</v>
      </c>
      <c r="T20" s="13">
        <f t="shared" si="8"/>
        <v>249355.18615386961</v>
      </c>
      <c r="U20" s="13">
        <f t="shared" si="8"/>
        <v>283154.50240206998</v>
      </c>
      <c r="V20" s="13">
        <f t="shared" si="8"/>
        <v>228151.3588287828</v>
      </c>
    </row>
    <row r="21" spans="1:22" x14ac:dyDescent="0.15">
      <c r="C21" s="46">
        <f>+C20/C16</f>
        <v>0.14400000000000002</v>
      </c>
      <c r="D21" s="46">
        <f t="shared" ref="D21:N21" si="9">+D20/D16</f>
        <v>0.16200000000000006</v>
      </c>
      <c r="E21" s="46">
        <f t="shared" si="9"/>
        <v>0.14900000000000008</v>
      </c>
      <c r="F21" s="46">
        <f t="shared" si="9"/>
        <v>0.13800000000000001</v>
      </c>
      <c r="G21" s="46">
        <f t="shared" si="9"/>
        <v>0.15300000000000002</v>
      </c>
      <c r="H21" s="46">
        <f t="shared" si="9"/>
        <v>0.15800000000000006</v>
      </c>
      <c r="I21" s="46">
        <f t="shared" si="9"/>
        <v>0.16600000000000009</v>
      </c>
      <c r="J21" s="46">
        <f t="shared" si="9"/>
        <v>0.14499999999999993</v>
      </c>
      <c r="K21" s="46">
        <f t="shared" si="9"/>
        <v>0.15399999999999997</v>
      </c>
      <c r="L21" s="46">
        <f t="shared" si="9"/>
        <v>0.12899999999999998</v>
      </c>
      <c r="M21" s="46">
        <f t="shared" si="9"/>
        <v>0.15400000000000008</v>
      </c>
      <c r="N21" s="46">
        <f t="shared" si="9"/>
        <v>0.15900000000000003</v>
      </c>
      <c r="O21" s="46">
        <f t="shared" ref="O21" si="10">+O20/O16</f>
        <v>0.15103129450744679</v>
      </c>
      <c r="Q21" s="46">
        <f>+Q20/Q16</f>
        <v>0.14100000000000001</v>
      </c>
      <c r="R21" s="46">
        <f t="shared" ref="R21" si="11">+R20/R16</f>
        <v>0.16100000000000006</v>
      </c>
      <c r="S21" s="46">
        <f t="shared" ref="S21" si="12">+S20/S16</f>
        <v>0.159</v>
      </c>
      <c r="T21" s="46">
        <f t="shared" ref="T21" si="13">+T20/T16</f>
        <v>0.128</v>
      </c>
      <c r="U21" s="46">
        <f t="shared" ref="U21" si="14">+U20/U16</f>
        <v>0.15300000000000005</v>
      </c>
      <c r="V21" s="46">
        <f t="shared" ref="V21" si="15">+V20/V16</f>
        <v>0.14899999999999999</v>
      </c>
    </row>
    <row r="22" spans="1:22" x14ac:dyDescent="0.15">
      <c r="A22" s="9" t="s">
        <v>21</v>
      </c>
      <c r="B22" s="10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Q22" s="8"/>
      <c r="R22" s="8"/>
      <c r="S22" s="8"/>
      <c r="T22" s="8"/>
      <c r="U22" s="8"/>
      <c r="V22" s="8"/>
    </row>
    <row r="23" spans="1:22" x14ac:dyDescent="0.15">
      <c r="A23" t="s">
        <v>80</v>
      </c>
      <c r="C23" s="11">
        <f>+'IS Actual &amp; Forecast'!C23</f>
        <v>101467</v>
      </c>
      <c r="D23" s="11">
        <f>+'IS Actual &amp; Forecast'!D23</f>
        <v>104637.84375</v>
      </c>
      <c r="E23" s="11">
        <f>+'IS Actual &amp; Forecast'!E23</f>
        <v>121977.82928571428</v>
      </c>
      <c r="F23" s="11">
        <f>+'IS Actual &amp; Forecast'!F23</f>
        <v>110638</v>
      </c>
      <c r="G23" s="11">
        <f>+'IS Actual &amp; Forecast'!G23</f>
        <v>127252.22703732413</v>
      </c>
      <c r="H23" s="11">
        <f>+'IS Actual &amp; Forecast'!H23</f>
        <v>112612</v>
      </c>
      <c r="I23" s="11">
        <f>+'IS Actual &amp; Forecast'!I23</f>
        <v>110490</v>
      </c>
      <c r="J23" s="11">
        <f>+'IS Actual &amp; Forecast'!J23</f>
        <v>111441</v>
      </c>
      <c r="K23" s="11">
        <f>+'IS Actual &amp; Forecast'!K23</f>
        <v>116897</v>
      </c>
      <c r="L23" s="11">
        <f>+'IS Actual &amp; Forecast'!L23</f>
        <v>116870</v>
      </c>
      <c r="M23" s="11">
        <f>+'IS Actual &amp; Forecast'!M23</f>
        <v>103624.73333333334</v>
      </c>
      <c r="N23" s="11">
        <f>+'IS Actual &amp; Forecast'!N23</f>
        <v>110690</v>
      </c>
      <c r="O23" s="8">
        <f t="shared" ref="O23:O35" si="16">SUM(C23:N23)</f>
        <v>1348597.6334063718</v>
      </c>
      <c r="Q23" s="11">
        <f>+'IS Actual &amp; Forecast'!Q23</f>
        <v>107555.02</v>
      </c>
      <c r="R23" s="11">
        <f>+'IS Actual &amp; Forecast'!R23</f>
        <v>106730.60062500001</v>
      </c>
      <c r="S23" s="11">
        <f>+'IS Actual &amp; Forecast'!S23</f>
        <v>119538.27269999999</v>
      </c>
      <c r="T23" s="11">
        <f>+'IS Actual &amp; Forecast'!T23</f>
        <v>117276.28</v>
      </c>
      <c r="U23" s="11">
        <f>+'IS Actual &amp; Forecast'!U23</f>
        <v>134887.36065956359</v>
      </c>
      <c r="V23" s="11">
        <f>+'IS Actual &amp; Forecast'!V23</f>
        <v>119368.72</v>
      </c>
    </row>
    <row r="24" spans="1:22" x14ac:dyDescent="0.15">
      <c r="A24" t="s">
        <v>22</v>
      </c>
      <c r="C24" s="11">
        <f>+'IS Actual &amp; Forecast'!C24</f>
        <v>14750</v>
      </c>
      <c r="D24" s="11">
        <f>+'IS Actual &amp; Forecast'!D24</f>
        <v>14820</v>
      </c>
      <c r="E24" s="11">
        <f>+'IS Actual &amp; Forecast'!E24</f>
        <v>14760</v>
      </c>
      <c r="F24" s="11">
        <f>+'IS Actual &amp; Forecast'!F24</f>
        <v>15357</v>
      </c>
      <c r="G24" s="11">
        <f>+'IS Actual &amp; Forecast'!G24</f>
        <v>17663.121627399145</v>
      </c>
      <c r="H24" s="11">
        <f>+'IS Actual &amp; Forecast'!H24</f>
        <v>14800</v>
      </c>
      <c r="I24" s="11">
        <f>+'IS Actual &amp; Forecast'!I24</f>
        <v>14800</v>
      </c>
      <c r="J24" s="11">
        <f>+'IS Actual &amp; Forecast'!J24</f>
        <v>14800</v>
      </c>
      <c r="K24" s="11">
        <f>+'IS Actual &amp; Forecast'!K24</f>
        <v>14800</v>
      </c>
      <c r="L24" s="11">
        <f>+'IS Actual &amp; Forecast'!L24</f>
        <v>14800</v>
      </c>
      <c r="M24" s="11">
        <f>+'IS Actual &amp; Forecast'!M24</f>
        <v>14800</v>
      </c>
      <c r="N24" s="11">
        <f>+'IS Actual &amp; Forecast'!N24</f>
        <v>14800</v>
      </c>
      <c r="O24" s="8">
        <f t="shared" si="16"/>
        <v>180950.12162739914</v>
      </c>
      <c r="Q24" s="11">
        <f>+'IS Actual &amp; Forecast'!Q24</f>
        <v>15635</v>
      </c>
      <c r="R24" s="11">
        <f>+'IS Actual &amp; Forecast'!R24</f>
        <v>15116.4</v>
      </c>
      <c r="S24" s="11">
        <f>+'IS Actual &amp; Forecast'!S24</f>
        <v>14464.8</v>
      </c>
      <c r="T24" s="11">
        <f>+'IS Actual &amp; Forecast'!T24</f>
        <v>16278.42</v>
      </c>
      <c r="U24" s="11">
        <f>+'IS Actual &amp; Forecast'!U24</f>
        <v>18722.908925043095</v>
      </c>
      <c r="V24" s="11">
        <f>+'IS Actual &amp; Forecast'!V24</f>
        <v>15688</v>
      </c>
    </row>
    <row r="25" spans="1:22" x14ac:dyDescent="0.15">
      <c r="A25" s="29" t="s">
        <v>23</v>
      </c>
      <c r="C25" s="11">
        <f>+'IS Actual &amp; Forecast'!C25</f>
        <v>5328</v>
      </c>
      <c r="D25" s="11">
        <f>+'IS Actual &amp; Forecast'!D25</f>
        <v>5494.5</v>
      </c>
      <c r="E25" s="11">
        <f>+'IS Actual &amp; Forecast'!E25</f>
        <v>6405.017142857143</v>
      </c>
      <c r="F25" s="11">
        <f>+'IS Actual &amp; Forecast'!F25</f>
        <v>4737.0178596588812</v>
      </c>
      <c r="G25" s="11">
        <f>+'IS Actual &amp; Forecast'!G25</f>
        <v>5448.3637823999998</v>
      </c>
      <c r="H25" s="11">
        <f>+'IS Actual &amp; Forecast'!H25</f>
        <v>5288.1177888000011</v>
      </c>
      <c r="I25" s="11">
        <f>+'IS Actual &amp; Forecast'!I25</f>
        <v>4494.9001204800006</v>
      </c>
      <c r="J25" s="11">
        <f>+'IS Actual &amp; Forecast'!J25</f>
        <v>5369.1471979854532</v>
      </c>
      <c r="K25" s="11">
        <f>+'IS Actual &amp; Forecast'!K25</f>
        <v>5892.8140579492801</v>
      </c>
      <c r="L25" s="11">
        <f>+'IS Actual &amp; Forecast'!L25</f>
        <v>5556.0818260664637</v>
      </c>
      <c r="M25" s="11">
        <f>+'IS Actual &amp; Forecast'!M25</f>
        <v>4926.3925524455981</v>
      </c>
      <c r="N25" s="11">
        <f>+'IS Actual &amp; Forecast'!N25</f>
        <v>4075.9961529463794</v>
      </c>
      <c r="O25" s="8">
        <f t="shared" si="16"/>
        <v>63016.348481589201</v>
      </c>
      <c r="Q25" s="11">
        <f>+'IS Actual &amp; Forecast'!Q25</f>
        <v>5647.68</v>
      </c>
      <c r="R25" s="11">
        <f>+'IS Actual &amp; Forecast'!R25</f>
        <v>5604.39</v>
      </c>
      <c r="S25" s="11">
        <f>+'IS Actual &amp; Forecast'!S25</f>
        <v>6276.9168</v>
      </c>
      <c r="T25" s="11">
        <f>+'IS Actual &amp; Forecast'!T25</f>
        <v>5021.2389312384139</v>
      </c>
      <c r="U25" s="11">
        <f>+'IS Actual &amp; Forecast'!U25</f>
        <v>5775.265609344</v>
      </c>
      <c r="V25" s="11">
        <f>+'IS Actual &amp; Forecast'!V25</f>
        <v>5605.4048561280015</v>
      </c>
    </row>
    <row r="26" spans="1:22" x14ac:dyDescent="0.15">
      <c r="A26" s="29" t="s">
        <v>24</v>
      </c>
      <c r="C26" s="11">
        <f>+'IS Actual &amp; Forecast'!C26</f>
        <v>12480</v>
      </c>
      <c r="D26" s="11">
        <f>+'IS Actual &amp; Forecast'!D26</f>
        <v>12870</v>
      </c>
      <c r="E26" s="11">
        <f>+'IS Actual &amp; Forecast'!E26</f>
        <v>15002.742857142857</v>
      </c>
      <c r="F26" s="11">
        <f>+'IS Actual &amp; Forecast'!F26</f>
        <v>11095.717509110893</v>
      </c>
      <c r="G26" s="11">
        <f>+'IS Actual &amp; Forecast'!G26</f>
        <v>12761.933184</v>
      </c>
      <c r="H26" s="11">
        <f>+'IS Actual &amp; Forecast'!H26</f>
        <v>12386.582208000002</v>
      </c>
      <c r="I26" s="11">
        <f>+'IS Actual &amp; Forecast'!I26</f>
        <v>10528.594876800002</v>
      </c>
      <c r="J26" s="11">
        <f>+'IS Actual &amp; Forecast'!J26</f>
        <v>12576.380824110071</v>
      </c>
      <c r="K26" s="11">
        <f>+'IS Actual &amp; Forecast'!K26</f>
        <v>13802.9878834848</v>
      </c>
      <c r="L26" s="11">
        <f>+'IS Actual &amp; Forecast'!L26</f>
        <v>13014.245718714241</v>
      </c>
      <c r="M26" s="11">
        <f>+'IS Actual &amp; Forecast'!M26</f>
        <v>11539.297870593295</v>
      </c>
      <c r="N26" s="11">
        <f>+'IS Actual &amp; Forecast'!N26</f>
        <v>9547.3783762708008</v>
      </c>
      <c r="O26" s="8">
        <f t="shared" si="16"/>
        <v>147605.86130822697</v>
      </c>
      <c r="Q26" s="11">
        <f>+'IS Actual &amp; Forecast'!Q26</f>
        <v>13228.800000000001</v>
      </c>
      <c r="R26" s="11">
        <f>+'IS Actual &amp; Forecast'!R26</f>
        <v>13127.4</v>
      </c>
      <c r="S26" s="11">
        <f>+'IS Actual &amp; Forecast'!S26</f>
        <v>14702.688</v>
      </c>
      <c r="T26" s="11">
        <f>+'IS Actual &amp; Forecast'!T26</f>
        <v>11761.460559657547</v>
      </c>
      <c r="U26" s="11">
        <f>+'IS Actual &amp; Forecast'!U26</f>
        <v>13420</v>
      </c>
      <c r="V26" s="11">
        <f>+'IS Actual &amp; Forecast'!V26</f>
        <v>13129.777140480002</v>
      </c>
    </row>
    <row r="27" spans="1:22" x14ac:dyDescent="0.15">
      <c r="A27" s="29" t="s">
        <v>25</v>
      </c>
      <c r="C27" s="11">
        <f>+'IS Actual &amp; Forecast'!C27</f>
        <v>0</v>
      </c>
      <c r="D27" s="11">
        <f>+'IS Actual &amp; Forecast'!D27</f>
        <v>0</v>
      </c>
      <c r="E27" s="11">
        <f>+'IS Actual &amp; Forecast'!E27</f>
        <v>0</v>
      </c>
      <c r="F27" s="11">
        <f>+'IS Actual &amp; Forecast'!F27</f>
        <v>0</v>
      </c>
      <c r="G27" s="11">
        <f>+'IS Actual &amp; Forecast'!G27</f>
        <v>0</v>
      </c>
      <c r="H27" s="11">
        <f>+'IS Actual &amp; Forecast'!H27</f>
        <v>0</v>
      </c>
      <c r="I27" s="11">
        <f>+'IS Actual &amp; Forecast'!I27</f>
        <v>0</v>
      </c>
      <c r="J27" s="11">
        <f>+'IS Actual &amp; Forecast'!J27</f>
        <v>0</v>
      </c>
      <c r="K27" s="11">
        <f>+'IS Actual &amp; Forecast'!K27</f>
        <v>0</v>
      </c>
      <c r="L27" s="11">
        <f>+'IS Actual &amp; Forecast'!L27</f>
        <v>0</v>
      </c>
      <c r="M27" s="11">
        <f>+'IS Actual &amp; Forecast'!M27</f>
        <v>0</v>
      </c>
      <c r="N27" s="11">
        <f>+'IS Actual &amp; Forecast'!N27</f>
        <v>0</v>
      </c>
      <c r="O27" s="8">
        <f t="shared" si="16"/>
        <v>0</v>
      </c>
      <c r="Q27" s="11">
        <f>+'IS Actual &amp; Forecast'!Q27</f>
        <v>0</v>
      </c>
      <c r="R27" s="11">
        <f>+'IS Actual &amp; Forecast'!R27</f>
        <v>0</v>
      </c>
      <c r="S27" s="11">
        <f>+'IS Actual &amp; Forecast'!S27</f>
        <v>0</v>
      </c>
      <c r="T27" s="11">
        <f>+'IS Actual &amp; Forecast'!T27</f>
        <v>0</v>
      </c>
      <c r="U27" s="11">
        <f>+'IS Actual &amp; Forecast'!U27</f>
        <v>0</v>
      </c>
      <c r="V27" s="11">
        <f>+'IS Actual &amp; Forecast'!V27</f>
        <v>0</v>
      </c>
    </row>
    <row r="28" spans="1:22" x14ac:dyDescent="0.15">
      <c r="A28" s="29" t="s">
        <v>27</v>
      </c>
      <c r="C28" s="11">
        <f>+'IS Actual &amp; Forecast'!C28</f>
        <v>3544</v>
      </c>
      <c r="D28" s="11">
        <f>+'IS Actual &amp; Forecast'!D28</f>
        <v>3654.75</v>
      </c>
      <c r="E28" s="11">
        <f>+'IS Actual &amp; Forecast'!E28</f>
        <v>4260.3942857142856</v>
      </c>
      <c r="F28" s="11">
        <f>+'IS Actual &amp; Forecast'!F28</f>
        <v>3150.8992670103371</v>
      </c>
      <c r="G28" s="11">
        <f>+'IS Actual &amp; Forecast'!G28</f>
        <v>3624.0617952000002</v>
      </c>
      <c r="H28" s="11">
        <f>+'IS Actual &amp; Forecast'!H28</f>
        <v>3517.4717424000009</v>
      </c>
      <c r="I28" s="11">
        <f>+'IS Actual &amp; Forecast'!I28</f>
        <v>2989.8509810400005</v>
      </c>
      <c r="J28" s="11">
        <f>+'IS Actual &amp; Forecast'!J28</f>
        <v>3571.3696827440776</v>
      </c>
      <c r="K28" s="11">
        <f>+'IS Actual &amp; Forecast'!K28</f>
        <v>3919.6946361434398</v>
      </c>
      <c r="L28" s="11">
        <f>+'IS Actual &amp; Forecast'!L28</f>
        <v>3695.7120855066719</v>
      </c>
      <c r="M28" s="11">
        <f>+'IS Actual &amp; Forecast'!M28</f>
        <v>3276.864715815916</v>
      </c>
      <c r="N28" s="11">
        <f>+'IS Actual &amp; Forecast'!N28</f>
        <v>2711.2106542871566</v>
      </c>
      <c r="O28" s="8">
        <f t="shared" si="16"/>
        <v>41916.279845861878</v>
      </c>
      <c r="Q28" s="11">
        <f>+'IS Actual &amp; Forecast'!Q28</f>
        <v>3756.6400000000003</v>
      </c>
      <c r="R28" s="11">
        <f>+'IS Actual &amp; Forecast'!R28</f>
        <v>3727.8450000000003</v>
      </c>
      <c r="S28" s="11">
        <f>+'IS Actual &amp; Forecast'!S28</f>
        <v>4175.1863999999996</v>
      </c>
      <c r="T28" s="11">
        <f>+'IS Actual &amp; Forecast'!T28</f>
        <v>3339.9532230309574</v>
      </c>
      <c r="U28" s="11">
        <f>+'IS Actual &amp; Forecast'!U28</f>
        <v>3370</v>
      </c>
      <c r="V28" s="11">
        <f>+'IS Actual &amp; Forecast'!V28</f>
        <v>3728.520046944001</v>
      </c>
    </row>
    <row r="29" spans="1:22" x14ac:dyDescent="0.15">
      <c r="A29" s="29" t="s">
        <v>28</v>
      </c>
      <c r="C29" s="11">
        <f>+'IS Actual &amp; Forecast'!C29</f>
        <v>2853</v>
      </c>
      <c r="D29" s="11">
        <f>+'IS Actual &amp; Forecast'!D29</f>
        <v>2942.15625</v>
      </c>
      <c r="E29" s="11">
        <f>+'IS Actual &amp; Forecast'!E29</f>
        <v>3429.7135714285714</v>
      </c>
      <c r="F29" s="11">
        <f>+'IS Actual &amp; Forecast'!F29</f>
        <v>2536.5450363376103</v>
      </c>
      <c r="G29" s="11">
        <f>+'IS Actual &amp; Forecast'!G29</f>
        <v>2917.4515523999999</v>
      </c>
      <c r="H29" s="11">
        <f>+'IS Actual &amp; Forecast'!H29</f>
        <v>2831.6441538000004</v>
      </c>
      <c r="I29" s="11">
        <f>+'IS Actual &amp; Forecast'!I29</f>
        <v>2406.8975307300002</v>
      </c>
      <c r="J29" s="11">
        <f>+'IS Actual &amp; Forecast'!J29</f>
        <v>2875.0332124347779</v>
      </c>
      <c r="K29" s="11">
        <f>+'IS Actual &amp; Forecast'!K29</f>
        <v>3155.4426627870298</v>
      </c>
      <c r="L29" s="11">
        <f>+'IS Actual &amp; Forecast'!L29</f>
        <v>2975.1316534849138</v>
      </c>
      <c r="M29" s="11">
        <f>+'IS Actual &amp; Forecast'!M29</f>
        <v>2637.9500660899571</v>
      </c>
      <c r="N29" s="11">
        <f>+'IS Actual &amp; Forecast'!N29</f>
        <v>2182.5857778445984</v>
      </c>
      <c r="O29" s="8">
        <f t="shared" si="16"/>
        <v>33743.551467337464</v>
      </c>
      <c r="Q29" s="11">
        <f>+'IS Actual &amp; Forecast'!Q29</f>
        <v>3024.1800000000003</v>
      </c>
      <c r="R29" s="11">
        <f>+'IS Actual &amp; Forecast'!R29</f>
        <v>3000.9993749999999</v>
      </c>
      <c r="S29" s="11">
        <f>+'IS Actual &amp; Forecast'!S29</f>
        <v>3361.1192999999998</v>
      </c>
      <c r="T29" s="11">
        <f>+'IS Actual &amp; Forecast'!T29</f>
        <v>2688.737738517867</v>
      </c>
      <c r="U29" s="11">
        <f>+'IS Actual &amp; Forecast'!U29</f>
        <v>3092.4986455439998</v>
      </c>
      <c r="V29" s="11">
        <f>+'IS Actual &amp; Forecast'!V29</f>
        <v>3001.5428030280004</v>
      </c>
    </row>
    <row r="30" spans="1:22" x14ac:dyDescent="0.15">
      <c r="A30" s="29" t="s">
        <v>81</v>
      </c>
      <c r="C30" s="11">
        <f>+'IS Actual &amp; Forecast'!C30</f>
        <v>0</v>
      </c>
      <c r="D30" s="11">
        <f>+'IS Actual &amp; Forecast'!D30</f>
        <v>0</v>
      </c>
      <c r="E30" s="11">
        <f>+'IS Actual &amp; Forecast'!E30</f>
        <v>0</v>
      </c>
      <c r="F30" s="11">
        <f>+'IS Actual &amp; Forecast'!F30</f>
        <v>0</v>
      </c>
      <c r="G30" s="11">
        <f>+'IS Actual &amp; Forecast'!G30</f>
        <v>0</v>
      </c>
      <c r="H30" s="11">
        <f>+'IS Actual &amp; Forecast'!H30</f>
        <v>0</v>
      </c>
      <c r="I30" s="11">
        <f>+'IS Actual &amp; Forecast'!I30</f>
        <v>0</v>
      </c>
      <c r="J30" s="11">
        <f>+'IS Actual &amp; Forecast'!J30</f>
        <v>0</v>
      </c>
      <c r="K30" s="11">
        <f>+'IS Actual &amp; Forecast'!K30</f>
        <v>0</v>
      </c>
      <c r="L30" s="11">
        <f>+'IS Actual &amp; Forecast'!L30</f>
        <v>0</v>
      </c>
      <c r="M30" s="11">
        <f>+'IS Actual &amp; Forecast'!M30</f>
        <v>0</v>
      </c>
      <c r="N30" s="11">
        <f>+'IS Actual &amp; Forecast'!N30</f>
        <v>0</v>
      </c>
      <c r="O30" s="8">
        <f t="shared" si="16"/>
        <v>0</v>
      </c>
      <c r="Q30" s="11">
        <f>+'IS Actual &amp; Forecast'!Q30</f>
        <v>0</v>
      </c>
      <c r="R30" s="11">
        <f>+'IS Actual &amp; Forecast'!R30</f>
        <v>0</v>
      </c>
      <c r="S30" s="11">
        <f>+'IS Actual &amp; Forecast'!S30</f>
        <v>0</v>
      </c>
      <c r="T30" s="11">
        <f>+'IS Actual &amp; Forecast'!T30</f>
        <v>0</v>
      </c>
      <c r="U30" s="11">
        <f>+'IS Actual &amp; Forecast'!U30</f>
        <v>0</v>
      </c>
      <c r="V30" s="11">
        <f>+'IS Actual &amp; Forecast'!V30</f>
        <v>0</v>
      </c>
    </row>
    <row r="31" spans="1:22" x14ac:dyDescent="0.15">
      <c r="A31" s="29" t="s">
        <v>26</v>
      </c>
      <c r="C31" s="11">
        <f>+'IS Actual &amp; Forecast'!C31</f>
        <v>4500</v>
      </c>
      <c r="D31" s="11">
        <f>+'IS Actual &amp; Forecast'!D31</f>
        <v>4640.625</v>
      </c>
      <c r="E31" s="11">
        <f>+'IS Actual &amp; Forecast'!E31</f>
        <v>5409.6428571428569</v>
      </c>
      <c r="F31" s="11">
        <f>+'IS Actual &amp; Forecast'!F31</f>
        <v>4000.8596787659471</v>
      </c>
      <c r="G31" s="11">
        <f>+'IS Actual &amp; Forecast'!G31</f>
        <v>4601.6585999999998</v>
      </c>
      <c r="H31" s="11">
        <f>+'IS Actual &amp; Forecast'!H31</f>
        <v>4466.315700000001</v>
      </c>
      <c r="I31" s="11">
        <f>+'IS Actual &amp; Forecast'!I31</f>
        <v>3796.3683450000008</v>
      </c>
      <c r="J31" s="11">
        <f>+'IS Actual &amp; Forecast'!J31</f>
        <v>4534.7527010012273</v>
      </c>
      <c r="K31" s="11">
        <f>+'IS Actual &amp; Forecast'!K31</f>
        <v>4977.0389002949996</v>
      </c>
      <c r="L31" s="11">
        <f>+'IS Actual &amp; Forecast'!L31</f>
        <v>4692.6366774209991</v>
      </c>
      <c r="M31" s="11">
        <f>+'IS Actual &amp; Forecast'!M31</f>
        <v>4160.8045206466195</v>
      </c>
      <c r="N31" s="11">
        <f>+'IS Actual &amp; Forecast'!N31</f>
        <v>3442.564318366874</v>
      </c>
      <c r="O31" s="8">
        <f t="shared" si="16"/>
        <v>53223.267298639526</v>
      </c>
      <c r="Q31" s="11">
        <f>+'IS Actual &amp; Forecast'!Q31</f>
        <v>4770</v>
      </c>
      <c r="R31" s="11">
        <f>+'IS Actual &amp; Forecast'!R31</f>
        <v>4733.4375</v>
      </c>
      <c r="S31" s="11">
        <f>+'IS Actual &amp; Forecast'!S31</f>
        <v>5301.45</v>
      </c>
      <c r="T31" s="11">
        <f>+'IS Actual &amp; Forecast'!T31</f>
        <v>4240.9112594919043</v>
      </c>
      <c r="U31" s="11">
        <f>+'IS Actual &amp; Forecast'!U31</f>
        <v>4689</v>
      </c>
      <c r="V31" s="11">
        <f>+'IS Actual &amp; Forecast'!V31</f>
        <v>4734.2946420000017</v>
      </c>
    </row>
    <row r="32" spans="1:22" x14ac:dyDescent="0.15">
      <c r="A32" s="29" t="s">
        <v>29</v>
      </c>
      <c r="C32" s="11">
        <f>+'IS Actual &amp; Forecast'!C32</f>
        <v>2980</v>
      </c>
      <c r="D32" s="11">
        <f>+'IS Actual &amp; Forecast'!D32</f>
        <v>3073.125</v>
      </c>
      <c r="E32" s="11">
        <f>+'IS Actual &amp; Forecast'!E32</f>
        <v>3582.3857142857141</v>
      </c>
      <c r="F32" s="11">
        <f>+'IS Actual &amp; Forecast'!F32</f>
        <v>2649.4581872716717</v>
      </c>
      <c r="G32" s="11">
        <f>+'IS Actual &amp; Forecast'!G32</f>
        <v>3047.3205840000001</v>
      </c>
      <c r="H32" s="11">
        <f>+'IS Actual &amp; Forecast'!H32</f>
        <v>2957.6935080000007</v>
      </c>
      <c r="I32" s="11">
        <f>+'IS Actual &amp; Forecast'!I32</f>
        <v>2514.0394818000004</v>
      </c>
      <c r="J32" s="11">
        <f>+'IS Actual &amp; Forecast'!J32</f>
        <v>3003.014010885257</v>
      </c>
      <c r="K32" s="11">
        <f>+'IS Actual &amp; Forecast'!K32</f>
        <v>3295.9057606397996</v>
      </c>
      <c r="L32" s="11">
        <f>+'IS Actual &amp; Forecast'!L32</f>
        <v>3107.5682886032396</v>
      </c>
      <c r="M32" s="11">
        <f>+'IS Actual &amp; Forecast'!M32</f>
        <v>2755.3772158948727</v>
      </c>
      <c r="N32" s="11">
        <f>+'IS Actual &amp; Forecast'!N32</f>
        <v>2279.7425930518411</v>
      </c>
      <c r="O32" s="8">
        <f t="shared" si="16"/>
        <v>35245.6303444324</v>
      </c>
      <c r="Q32" s="11">
        <f>+'IS Actual &amp; Forecast'!Q32</f>
        <v>3158.8</v>
      </c>
      <c r="R32" s="11">
        <f>+'IS Actual &amp; Forecast'!R32</f>
        <v>3134.5875000000001</v>
      </c>
      <c r="S32" s="11">
        <f>+'IS Actual &amp; Forecast'!S32</f>
        <v>3510.7379999999998</v>
      </c>
      <c r="T32" s="11">
        <f>+'IS Actual &amp; Forecast'!T32</f>
        <v>2808.425678507972</v>
      </c>
      <c r="U32" s="11">
        <f>+'IS Actual &amp; Forecast'!U32</f>
        <v>3230.15981904</v>
      </c>
      <c r="V32" s="11">
        <f>+'IS Actual &amp; Forecast'!V32</f>
        <v>3135.155118480001</v>
      </c>
    </row>
    <row r="33" spans="1:22" x14ac:dyDescent="0.15">
      <c r="A33" t="s">
        <v>93</v>
      </c>
      <c r="C33" s="11">
        <f>+'IS Actual &amp; Forecast'!C33</f>
        <v>5475</v>
      </c>
      <c r="D33" s="11">
        <f>+'IS Actual &amp; Forecast'!D33</f>
        <v>5475</v>
      </c>
      <c r="E33" s="11">
        <f>+'IS Actual &amp; Forecast'!E33</f>
        <v>5475</v>
      </c>
      <c r="F33" s="11">
        <f>+'IS Actual &amp; Forecast'!F33</f>
        <v>5475</v>
      </c>
      <c r="G33" s="11">
        <f>+'IS Actual &amp; Forecast'!G33</f>
        <v>5475</v>
      </c>
      <c r="H33" s="11">
        <f>+'IS Actual &amp; Forecast'!H33</f>
        <v>5475</v>
      </c>
      <c r="I33" s="11">
        <f>+'IS Actual &amp; Forecast'!I33</f>
        <v>5475</v>
      </c>
      <c r="J33" s="11">
        <f>+'IS Actual &amp; Forecast'!J33</f>
        <v>5475</v>
      </c>
      <c r="K33" s="11">
        <f>+'IS Actual &amp; Forecast'!K33</f>
        <v>5475</v>
      </c>
      <c r="L33" s="11">
        <f>+'IS Actual &amp; Forecast'!L33</f>
        <v>5475</v>
      </c>
      <c r="M33" s="11">
        <f>+'IS Actual &amp; Forecast'!M33</f>
        <v>5475</v>
      </c>
      <c r="N33" s="11">
        <f>+'IS Actual &amp; Forecast'!N33</f>
        <v>10350</v>
      </c>
      <c r="O33" s="8">
        <f t="shared" si="16"/>
        <v>70575</v>
      </c>
      <c r="Q33" s="11">
        <f>+'IS Actual &amp; Forecast'!Q33</f>
        <v>5850</v>
      </c>
      <c r="R33" s="11">
        <f>+'IS Actual &amp; Forecast'!R33</f>
        <v>5850</v>
      </c>
      <c r="S33" s="11">
        <f>+'IS Actual &amp; Forecast'!S33</f>
        <v>5850</v>
      </c>
      <c r="T33" s="11">
        <f>+'IS Actual &amp; Forecast'!T33</f>
        <v>5850</v>
      </c>
      <c r="U33" s="11">
        <f>+'IS Actual &amp; Forecast'!U33</f>
        <v>5850</v>
      </c>
      <c r="V33" s="11">
        <f>+'IS Actual &amp; Forecast'!V33</f>
        <v>5850</v>
      </c>
    </row>
    <row r="34" spans="1:22" x14ac:dyDescent="0.15">
      <c r="A34" t="s">
        <v>30</v>
      </c>
      <c r="C34" s="11">
        <f>+'IS Actual &amp; Forecast'!C34</f>
        <v>0</v>
      </c>
      <c r="D34" s="11">
        <f>+'IS Actual &amp; Forecast'!D34</f>
        <v>0</v>
      </c>
      <c r="E34" s="11">
        <f>+'IS Actual &amp; Forecast'!E34</f>
        <v>0</v>
      </c>
      <c r="F34" s="11">
        <f>+'IS Actual &amp; Forecast'!F34</f>
        <v>0</v>
      </c>
      <c r="G34" s="11">
        <f>+'IS Actual &amp; Forecast'!G34</f>
        <v>0</v>
      </c>
      <c r="H34" s="11">
        <f>+'IS Actual &amp; Forecast'!H34</f>
        <v>0</v>
      </c>
      <c r="I34" s="11">
        <f>+'IS Actual &amp; Forecast'!I34</f>
        <v>0</v>
      </c>
      <c r="J34" s="11">
        <f>+'IS Actual &amp; Forecast'!J34</f>
        <v>0</v>
      </c>
      <c r="K34" s="11">
        <f>+'IS Actual &amp; Forecast'!K34</f>
        <v>0</v>
      </c>
      <c r="L34" s="11">
        <f>+'IS Actual &amp; Forecast'!L34</f>
        <v>0</v>
      </c>
      <c r="M34" s="11">
        <f>+'IS Actual &amp; Forecast'!M34</f>
        <v>0</v>
      </c>
      <c r="N34" s="11">
        <f>+'IS Actual &amp; Forecast'!N34</f>
        <v>0</v>
      </c>
      <c r="O34" s="8">
        <f t="shared" si="16"/>
        <v>0</v>
      </c>
      <c r="Q34" s="11">
        <f>+'IS Actual &amp; Forecast'!Q34</f>
        <v>0</v>
      </c>
      <c r="R34" s="11">
        <f>+'IS Actual &amp; Forecast'!R34</f>
        <v>0</v>
      </c>
      <c r="S34" s="11">
        <f>+'IS Actual &amp; Forecast'!S34</f>
        <v>0</v>
      </c>
      <c r="T34" s="11">
        <f>+'IS Actual &amp; Forecast'!T34</f>
        <v>0</v>
      </c>
      <c r="U34" s="11">
        <f>+'IS Actual &amp; Forecast'!U34</f>
        <v>0</v>
      </c>
      <c r="V34" s="11">
        <f>+'IS Actual &amp; Forecast'!V34</f>
        <v>0</v>
      </c>
    </row>
    <row r="35" spans="1:22" x14ac:dyDescent="0.15">
      <c r="A35" t="s">
        <v>31</v>
      </c>
      <c r="C35" s="6">
        <f>+'IS Actual &amp; Forecast'!C35</f>
        <v>5496</v>
      </c>
      <c r="D35" s="6">
        <f>+'IS Actual &amp; Forecast'!D35</f>
        <v>5667.75</v>
      </c>
      <c r="E35" s="6">
        <f>+'IS Actual &amp; Forecast'!E35</f>
        <v>6606.977142857143</v>
      </c>
      <c r="F35" s="6">
        <f>+'IS Actual &amp; Forecast'!F35</f>
        <v>4886.3832876661436</v>
      </c>
      <c r="G35" s="6">
        <f>+'IS Actual &amp; Forecast'!G35</f>
        <v>5620.1590367999997</v>
      </c>
      <c r="H35" s="6">
        <f>+'IS Actual &amp; Forecast'!H35</f>
        <v>5454.8602416000012</v>
      </c>
      <c r="I35" s="6">
        <f>+'IS Actual &amp; Forecast'!I35</f>
        <v>4636.6312053600013</v>
      </c>
      <c r="J35" s="6">
        <f>+'IS Actual &amp; Forecast'!J35</f>
        <v>5538.4446321561663</v>
      </c>
      <c r="K35" s="6">
        <f>+'IS Actual &amp; Forecast'!K35</f>
        <v>6078.6235102269611</v>
      </c>
      <c r="L35" s="6">
        <f>+'IS Actual &amp; Forecast'!L35</f>
        <v>5731.273595356849</v>
      </c>
      <c r="M35" s="6">
        <f>+'IS Actual &amp; Forecast'!M35</f>
        <v>5081.7292545497394</v>
      </c>
      <c r="N35" s="6">
        <f>+'IS Actual &amp; Forecast'!N35</f>
        <v>4204.51855416541</v>
      </c>
      <c r="O35" s="6">
        <f t="shared" si="16"/>
        <v>65003.350460738424</v>
      </c>
      <c r="Q35" s="6">
        <f>+'IS Actual &amp; Forecast'!Q35</f>
        <v>5825.76</v>
      </c>
      <c r="R35" s="6">
        <f>+'IS Actual &amp; Forecast'!R35</f>
        <v>5781.1050000000005</v>
      </c>
      <c r="S35" s="6">
        <f>+'IS Actual &amp; Forecast'!S35</f>
        <v>6474.8375999999998</v>
      </c>
      <c r="T35" s="6">
        <f>+'IS Actual &amp; Forecast'!T35</f>
        <v>5179.5662849261125</v>
      </c>
      <c r="U35" s="6">
        <f>+'IS Actual &amp; Forecast'!U35</f>
        <v>5957.3685790079999</v>
      </c>
      <c r="V35" s="6">
        <f>+'IS Actual &amp; Forecast'!V35</f>
        <v>5782.1518560960012</v>
      </c>
    </row>
    <row r="36" spans="1:22" x14ac:dyDescent="0.15">
      <c r="A36" s="1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Q36" s="14"/>
      <c r="R36" s="14"/>
      <c r="S36" s="14"/>
      <c r="T36" s="14"/>
      <c r="U36" s="14"/>
      <c r="V36" s="14"/>
    </row>
    <row r="37" spans="1:22" x14ac:dyDescent="0.15">
      <c r="A37" s="1" t="s">
        <v>18</v>
      </c>
      <c r="C37" s="6">
        <f t="shared" ref="C37:O37" si="17">SUM(C23:C35)</f>
        <v>158873</v>
      </c>
      <c r="D37" s="6">
        <f t="shared" ref="D37:N37" si="18">SUM(D23:D35)</f>
        <v>163275.75</v>
      </c>
      <c r="E37" s="6">
        <f t="shared" si="18"/>
        <v>186909.70285714287</v>
      </c>
      <c r="F37" s="6">
        <f t="shared" si="18"/>
        <v>164526.88082582143</v>
      </c>
      <c r="G37" s="6">
        <f t="shared" si="18"/>
        <v>188411.29719952325</v>
      </c>
      <c r="H37" s="6">
        <f t="shared" si="18"/>
        <v>169789.68534260002</v>
      </c>
      <c r="I37" s="6">
        <f t="shared" si="18"/>
        <v>162132.28254121001</v>
      </c>
      <c r="J37" s="6">
        <f t="shared" si="18"/>
        <v>169184.14226131706</v>
      </c>
      <c r="K37" s="6">
        <f t="shared" si="18"/>
        <v>178294.50741152637</v>
      </c>
      <c r="L37" s="6">
        <f t="shared" si="18"/>
        <v>175917.64984515336</v>
      </c>
      <c r="M37" s="6">
        <f t="shared" si="18"/>
        <v>158278.14952936934</v>
      </c>
      <c r="N37" s="6">
        <f t="shared" si="18"/>
        <v>164283.99642693304</v>
      </c>
      <c r="O37" s="6">
        <f t="shared" si="17"/>
        <v>2039877.0442405969</v>
      </c>
      <c r="Q37" s="6">
        <f t="shared" ref="Q37:V37" si="19">SUM(Q23:Q35)</f>
        <v>168451.88</v>
      </c>
      <c r="R37" s="6">
        <f t="shared" si="19"/>
        <v>166806.76500000001</v>
      </c>
      <c r="S37" s="6">
        <f t="shared" si="19"/>
        <v>183656.00880000001</v>
      </c>
      <c r="T37" s="6">
        <f t="shared" si="19"/>
        <v>174444.99367537079</v>
      </c>
      <c r="U37" s="6">
        <f t="shared" si="19"/>
        <v>198994.5622375427</v>
      </c>
      <c r="V37" s="6">
        <f t="shared" si="19"/>
        <v>180023.56646315599</v>
      </c>
    </row>
    <row r="38" spans="1:22" x14ac:dyDescent="0.15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Q38" s="15"/>
      <c r="R38" s="15"/>
      <c r="S38" s="15"/>
      <c r="T38" s="15"/>
      <c r="U38" s="15"/>
      <c r="V38" s="15"/>
    </row>
    <row r="39" spans="1:22" x14ac:dyDescent="0.15">
      <c r="A39" s="1" t="s">
        <v>91</v>
      </c>
      <c r="C39" s="6">
        <f>C20-C37</f>
        <v>120955.86400000006</v>
      </c>
      <c r="D39" s="6">
        <f t="shared" ref="D39:N39" si="20">D20-D37</f>
        <v>183012.46920000017</v>
      </c>
      <c r="E39" s="6">
        <f t="shared" si="20"/>
        <v>137959.94871085734</v>
      </c>
      <c r="F39" s="6">
        <f t="shared" si="20"/>
        <v>73897.086169058573</v>
      </c>
      <c r="G39" s="6">
        <f t="shared" si="20"/>
        <v>115623.52607013128</v>
      </c>
      <c r="H39" s="6">
        <f t="shared" si="20"/>
        <v>175577.9766460665</v>
      </c>
      <c r="I39" s="6">
        <f t="shared" si="20"/>
        <v>182579.61806393374</v>
      </c>
      <c r="J39" s="6">
        <f t="shared" si="20"/>
        <v>190483.57273868279</v>
      </c>
      <c r="K39" s="6">
        <f t="shared" si="20"/>
        <v>152691.21450084602</v>
      </c>
      <c r="L39" s="6">
        <f t="shared" si="20"/>
        <v>68066.110878823994</v>
      </c>
      <c r="M39" s="6">
        <f t="shared" si="20"/>
        <v>118425.91398937415</v>
      </c>
      <c r="N39" s="6">
        <f t="shared" si="20"/>
        <v>72088.363342249708</v>
      </c>
      <c r="O39" s="6">
        <f t="shared" ref="O39" si="21">O20-O37</f>
        <v>1591361.6643100202</v>
      </c>
      <c r="Q39" s="6">
        <f>Q20-Q37</f>
        <v>133129.50147521088</v>
      </c>
      <c r="R39" s="6">
        <f t="shared" ref="R39:V39" si="22">R20-R37</f>
        <v>244529.07761000015</v>
      </c>
      <c r="S39" s="6">
        <f t="shared" si="22"/>
        <v>168327.96313239768</v>
      </c>
      <c r="T39" s="6">
        <f t="shared" si="22"/>
        <v>74910.192478498822</v>
      </c>
      <c r="U39" s="6">
        <f t="shared" si="22"/>
        <v>84159.940164527274</v>
      </c>
      <c r="V39" s="6">
        <f t="shared" si="22"/>
        <v>48127.79236562681</v>
      </c>
    </row>
    <row r="40" spans="1:22" x14ac:dyDescent="0.15">
      <c r="A40" s="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Q40" s="11"/>
      <c r="R40" s="11"/>
      <c r="S40" s="11"/>
      <c r="T40" s="11"/>
      <c r="U40" s="11"/>
      <c r="V40" s="11"/>
    </row>
    <row r="41" spans="1:22" x14ac:dyDescent="0.15">
      <c r="A41" s="1" t="s">
        <v>94</v>
      </c>
      <c r="C41" s="11">
        <f>+'IS Actual &amp; Forecast'!C41</f>
        <v>8237.4750000000004</v>
      </c>
      <c r="D41" s="11">
        <f>+'IS Actual &amp; Forecast'!D41</f>
        <v>8162.4750000000004</v>
      </c>
      <c r="E41" s="11">
        <f>+'IS Actual &amp; Forecast'!E41</f>
        <v>8087.4750000000004</v>
      </c>
      <c r="F41" s="11">
        <f>+'IS Actual &amp; Forecast'!F41</f>
        <v>8012.4750000000004</v>
      </c>
      <c r="G41" s="11">
        <f>+'IS Actual &amp; Forecast'!G41</f>
        <v>7937.4750000000004</v>
      </c>
      <c r="H41" s="11">
        <f>+'IS Actual &amp; Forecast'!H41</f>
        <v>7862.4750000000004</v>
      </c>
      <c r="I41" s="11">
        <f>+'IS Actual &amp; Forecast'!I41</f>
        <v>7787.4750000000004</v>
      </c>
      <c r="J41" s="11">
        <f>+'IS Actual &amp; Forecast'!J41</f>
        <v>7712.4750000000004</v>
      </c>
      <c r="K41" s="11">
        <f>+'IS Actual &amp; Forecast'!K41</f>
        <v>7637.4750000000004</v>
      </c>
      <c r="L41" s="11">
        <f>+'IS Actual &amp; Forecast'!L41</f>
        <v>7562.4750000000004</v>
      </c>
      <c r="M41" s="11">
        <f>+'IS Actual &amp; Forecast'!M41</f>
        <v>7487.4750000000004</v>
      </c>
      <c r="N41" s="11">
        <f>+'IS Actual &amp; Forecast'!N41</f>
        <v>7412.4750000000004</v>
      </c>
      <c r="O41" s="8">
        <f>SUM(C41:N41)</f>
        <v>93899.700000000012</v>
      </c>
      <c r="Q41" s="11">
        <f>+'IS Actual &amp; Forecast'!Q41</f>
        <v>7337.4750000000004</v>
      </c>
      <c r="R41" s="11">
        <f>+'IS Actual &amp; Forecast'!R41</f>
        <v>7262.4750000000004</v>
      </c>
      <c r="S41" s="11">
        <f>+'IS Actual &amp; Forecast'!S41</f>
        <v>7187.4750000000004</v>
      </c>
      <c r="T41" s="11">
        <f>+'IS Actual &amp; Forecast'!T41</f>
        <v>7112.4750000000004</v>
      </c>
      <c r="U41" s="11">
        <f>+'IS Actual &amp; Forecast'!U41</f>
        <v>7037.4750000000004</v>
      </c>
      <c r="V41" s="11">
        <f>+'IS Actual &amp; Forecast'!V41</f>
        <v>6962.4750000000004</v>
      </c>
    </row>
    <row r="42" spans="1:22" x14ac:dyDescent="0.15">
      <c r="A42" s="1" t="s">
        <v>95</v>
      </c>
      <c r="C42" s="6">
        <f>+'IS Actual &amp; Forecast'!C42</f>
        <v>0</v>
      </c>
      <c r="D42" s="6">
        <f>+'IS Actual &amp; Forecast'!D42</f>
        <v>0</v>
      </c>
      <c r="E42" s="6">
        <f>+'IS Actual &amp; Forecast'!E42</f>
        <v>0</v>
      </c>
      <c r="F42" s="6">
        <f>+'IS Actual &amp; Forecast'!F42</f>
        <v>0</v>
      </c>
      <c r="G42" s="6">
        <f>+'IS Actual &amp; Forecast'!G42</f>
        <v>0</v>
      </c>
      <c r="H42" s="6">
        <f>+'IS Actual &amp; Forecast'!H42</f>
        <v>0</v>
      </c>
      <c r="I42" s="6">
        <f>+'IS Actual &amp; Forecast'!I42</f>
        <v>0</v>
      </c>
      <c r="J42" s="6">
        <f>+'IS Actual &amp; Forecast'!J42</f>
        <v>0</v>
      </c>
      <c r="K42" s="6">
        <f>+'IS Actual &amp; Forecast'!K42</f>
        <v>0</v>
      </c>
      <c r="L42" s="6">
        <f>+'IS Actual &amp; Forecast'!L42</f>
        <v>0</v>
      </c>
      <c r="M42" s="6">
        <f>+'IS Actual &amp; Forecast'!M42</f>
        <v>0</v>
      </c>
      <c r="N42" s="6">
        <f>+'IS Actual &amp; Forecast'!N42</f>
        <v>0</v>
      </c>
      <c r="O42" s="6">
        <f>SUM(C42:N42)</f>
        <v>0</v>
      </c>
      <c r="Q42" s="6">
        <f>+'IS Actual &amp; Forecast'!Q42</f>
        <v>0</v>
      </c>
      <c r="R42" s="6">
        <f>+'IS Actual &amp; Forecast'!R42</f>
        <v>0</v>
      </c>
      <c r="S42" s="6">
        <f>+'IS Actual &amp; Forecast'!S42</f>
        <v>0</v>
      </c>
      <c r="T42" s="6">
        <f>+'IS Actual &amp; Forecast'!T42</f>
        <v>0</v>
      </c>
      <c r="U42" s="6">
        <f>+'IS Actual &amp; Forecast'!U42</f>
        <v>0</v>
      </c>
      <c r="V42" s="6">
        <f>+'IS Actual &amp; Forecast'!V42</f>
        <v>0</v>
      </c>
    </row>
    <row r="44" spans="1:22" x14ac:dyDescent="0.15">
      <c r="A44" s="1" t="s">
        <v>18</v>
      </c>
      <c r="C44" s="6">
        <f>SUM(C41:C42)</f>
        <v>8237.4750000000004</v>
      </c>
      <c r="D44" s="6">
        <f t="shared" ref="D44:N44" si="23">SUM(D41:D42)</f>
        <v>8162.4750000000004</v>
      </c>
      <c r="E44" s="6">
        <f t="shared" si="23"/>
        <v>8087.4750000000004</v>
      </c>
      <c r="F44" s="6">
        <f t="shared" si="23"/>
        <v>8012.4750000000004</v>
      </c>
      <c r="G44" s="6">
        <f t="shared" si="23"/>
        <v>7937.4750000000004</v>
      </c>
      <c r="H44" s="6">
        <f t="shared" si="23"/>
        <v>7862.4750000000004</v>
      </c>
      <c r="I44" s="6">
        <f t="shared" si="23"/>
        <v>7787.4750000000004</v>
      </c>
      <c r="J44" s="6">
        <f t="shared" si="23"/>
        <v>7712.4750000000004</v>
      </c>
      <c r="K44" s="6">
        <f t="shared" si="23"/>
        <v>7637.4750000000004</v>
      </c>
      <c r="L44" s="6">
        <f t="shared" si="23"/>
        <v>7562.4750000000004</v>
      </c>
      <c r="M44" s="6">
        <f t="shared" si="23"/>
        <v>7487.4750000000004</v>
      </c>
      <c r="N44" s="6">
        <f t="shared" si="23"/>
        <v>7412.4750000000004</v>
      </c>
      <c r="O44" s="6">
        <f t="shared" ref="O44" si="24">SUM(O41:O42)</f>
        <v>93899.700000000012</v>
      </c>
      <c r="Q44" s="6">
        <f>SUM(Q41:Q42)</f>
        <v>7337.4750000000004</v>
      </c>
      <c r="R44" s="6">
        <f t="shared" ref="R44:V44" si="25">SUM(R41:R42)</f>
        <v>7262.4750000000004</v>
      </c>
      <c r="S44" s="6">
        <f t="shared" si="25"/>
        <v>7187.4750000000004</v>
      </c>
      <c r="T44" s="6">
        <f t="shared" si="25"/>
        <v>7112.4750000000004</v>
      </c>
      <c r="U44" s="6">
        <f t="shared" si="25"/>
        <v>7037.4750000000004</v>
      </c>
      <c r="V44" s="6">
        <f t="shared" si="25"/>
        <v>6962.4750000000004</v>
      </c>
    </row>
    <row r="46" spans="1:22" x14ac:dyDescent="0.15">
      <c r="A46" s="1" t="s">
        <v>53</v>
      </c>
      <c r="C46" s="30">
        <f>C39-C44</f>
        <v>112718.38900000005</v>
      </c>
      <c r="D46" s="30">
        <f t="shared" ref="D46:N46" si="26">D39-D44</f>
        <v>174849.99420000016</v>
      </c>
      <c r="E46" s="30">
        <f t="shared" si="26"/>
        <v>129872.47371085733</v>
      </c>
      <c r="F46" s="30">
        <f t="shared" si="26"/>
        <v>65884.611169058568</v>
      </c>
      <c r="G46" s="30">
        <f t="shared" si="26"/>
        <v>107686.05107013127</v>
      </c>
      <c r="H46" s="30">
        <f t="shared" si="26"/>
        <v>167715.50164606649</v>
      </c>
      <c r="I46" s="30">
        <f t="shared" si="26"/>
        <v>174792.14306393373</v>
      </c>
      <c r="J46" s="30">
        <f t="shared" si="26"/>
        <v>182771.09773868279</v>
      </c>
      <c r="K46" s="30">
        <f t="shared" si="26"/>
        <v>145053.73950084602</v>
      </c>
      <c r="L46" s="30">
        <f t="shared" si="26"/>
        <v>60503.635878823996</v>
      </c>
      <c r="M46" s="30">
        <f t="shared" si="26"/>
        <v>110938.43898937415</v>
      </c>
      <c r="N46" s="30">
        <f t="shared" si="26"/>
        <v>64675.888342249709</v>
      </c>
      <c r="O46" s="30">
        <f t="shared" ref="O46" si="27">O39-O44</f>
        <v>1497461.9643100202</v>
      </c>
      <c r="Q46" s="30">
        <f>Q39-Q44</f>
        <v>125792.02647521088</v>
      </c>
      <c r="R46" s="30">
        <f t="shared" ref="R46:V46" si="28">R39-R44</f>
        <v>237266.60261000015</v>
      </c>
      <c r="S46" s="30">
        <f t="shared" si="28"/>
        <v>161140.48813239767</v>
      </c>
      <c r="T46" s="30">
        <f t="shared" si="28"/>
        <v>67797.717478498816</v>
      </c>
      <c r="U46" s="30">
        <f t="shared" si="28"/>
        <v>77122.465164527268</v>
      </c>
      <c r="V46" s="30">
        <f t="shared" si="28"/>
        <v>41165.317365626812</v>
      </c>
    </row>
    <row r="47" spans="1:22" x14ac:dyDescent="0.15">
      <c r="O47" s="34">
        <f>+O46/O16</f>
        <v>6.2282773757850261E-2</v>
      </c>
    </row>
    <row r="49" spans="1:22" x14ac:dyDescent="0.15">
      <c r="A49" s="29" t="s">
        <v>32</v>
      </c>
      <c r="C49" s="23">
        <f>+C46+C44+C33</f>
        <v>126430.86400000006</v>
      </c>
      <c r="D49" s="23">
        <f t="shared" ref="D49:N49" si="29">+D46+D44+D33</f>
        <v>188487.46920000017</v>
      </c>
      <c r="E49" s="23">
        <f t="shared" si="29"/>
        <v>143434.94871085734</v>
      </c>
      <c r="F49" s="23">
        <f t="shared" si="29"/>
        <v>79372.086169058573</v>
      </c>
      <c r="G49" s="23">
        <f t="shared" si="29"/>
        <v>121098.52607013128</v>
      </c>
      <c r="H49" s="23">
        <f t="shared" si="29"/>
        <v>181052.9766460665</v>
      </c>
      <c r="I49" s="23">
        <f t="shared" si="29"/>
        <v>188054.61806393374</v>
      </c>
      <c r="J49" s="23">
        <f t="shared" si="29"/>
        <v>195958.57273868279</v>
      </c>
      <c r="K49" s="23">
        <f t="shared" si="29"/>
        <v>158166.21450084602</v>
      </c>
      <c r="L49" s="23">
        <f t="shared" si="29"/>
        <v>73541.110878823994</v>
      </c>
      <c r="M49" s="23">
        <f t="shared" si="29"/>
        <v>123900.91398937415</v>
      </c>
      <c r="N49" s="23">
        <f t="shared" si="29"/>
        <v>82438.363342249708</v>
      </c>
      <c r="O49" s="23">
        <f t="shared" ref="O49" si="30">+O46+O44+O33</f>
        <v>1661936.6643100202</v>
      </c>
      <c r="Q49" s="23">
        <f>+Q46+Q44+Q33</f>
        <v>138979.50147521088</v>
      </c>
      <c r="R49" s="23">
        <f t="shared" ref="R49:V49" si="31">+R46+R44+R33</f>
        <v>250379.07761000015</v>
      </c>
      <c r="S49" s="23">
        <f t="shared" si="31"/>
        <v>174177.96313239768</v>
      </c>
      <c r="T49" s="23">
        <f t="shared" si="31"/>
        <v>80760.192478498822</v>
      </c>
      <c r="U49" s="23">
        <f t="shared" si="31"/>
        <v>90009.940164527274</v>
      </c>
      <c r="V49" s="23">
        <f t="shared" si="31"/>
        <v>53977.79236562681</v>
      </c>
    </row>
  </sheetData>
  <pageMargins left="0.75" right="0.75" top="1" bottom="1" header="0.5" footer="0.5"/>
  <pageSetup scale="78" orientation="landscape" horizont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50"/>
  <sheetViews>
    <sheetView workbookViewId="0">
      <selection activeCell="J61" sqref="J61"/>
    </sheetView>
  </sheetViews>
  <sheetFormatPr baseColWidth="10" defaultColWidth="8.83203125" defaultRowHeight="13" outlineLevelCol="1" x14ac:dyDescent="0.15"/>
  <cols>
    <col min="1" max="1" width="36.5" customWidth="1"/>
    <col min="3" max="3" width="11.33203125" bestFit="1" customWidth="1" outlineLevel="1"/>
    <col min="4" max="4" width="12.33203125" customWidth="1" outlineLevel="1"/>
    <col min="5" max="5" width="11.33203125" bestFit="1" customWidth="1" outlineLevel="1"/>
    <col min="6" max="6" width="11.33203125" customWidth="1" outlineLevel="1"/>
    <col min="7" max="7" width="11.33203125" bestFit="1" customWidth="1" outlineLevel="1"/>
    <col min="8" max="8" width="11.6640625" customWidth="1" outlineLevel="1"/>
    <col min="9" max="13" width="11.33203125" bestFit="1" customWidth="1" outlineLevel="1"/>
    <col min="14" max="14" width="11.33203125" bestFit="1" customWidth="1"/>
    <col min="15" max="15" width="1.83203125" customWidth="1"/>
    <col min="16" max="16" width="2" customWidth="1"/>
    <col min="17" max="21" width="11.33203125" bestFit="1" customWidth="1" outlineLevel="1"/>
    <col min="22" max="22" width="12.33203125" customWidth="1" outlineLevel="1"/>
  </cols>
  <sheetData>
    <row r="1" spans="1:22" x14ac:dyDescent="0.15">
      <c r="A1" s="1" t="str">
        <f>+'BS Actual &amp; Forecast'!A1</f>
        <v>ABC Construction Company</v>
      </c>
    </row>
    <row r="2" spans="1:22" ht="20" x14ac:dyDescent="0.2">
      <c r="A2" s="2" t="s">
        <v>55</v>
      </c>
      <c r="H2" s="38" t="s">
        <v>82</v>
      </c>
      <c r="V2" s="38" t="s">
        <v>84</v>
      </c>
    </row>
    <row r="3" spans="1:22" x14ac:dyDescent="0.15">
      <c r="A3" s="22" t="s">
        <v>82</v>
      </c>
    </row>
    <row r="4" spans="1:22" x14ac:dyDescent="0.15">
      <c r="A4" s="22"/>
    </row>
    <row r="5" spans="1:22" x14ac:dyDescent="0.15">
      <c r="D5" s="25"/>
      <c r="F5" s="25"/>
    </row>
    <row r="6" spans="1:22" x14ac:dyDescent="0.15"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36"/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</row>
    <row r="7" spans="1:22" x14ac:dyDescent="0.15">
      <c r="A7" s="25" t="s">
        <v>57</v>
      </c>
      <c r="C7" s="52">
        <v>41640</v>
      </c>
      <c r="D7" s="52">
        <f>+C7+31</f>
        <v>41671</v>
      </c>
      <c r="E7" s="52">
        <f t="shared" ref="E7:N7" si="0">+D7+31</f>
        <v>41702</v>
      </c>
      <c r="F7" s="52">
        <f t="shared" si="0"/>
        <v>41733</v>
      </c>
      <c r="G7" s="52">
        <f t="shared" si="0"/>
        <v>41764</v>
      </c>
      <c r="H7" s="52">
        <f t="shared" si="0"/>
        <v>41795</v>
      </c>
      <c r="I7" s="52">
        <f t="shared" si="0"/>
        <v>41826</v>
      </c>
      <c r="J7" s="52">
        <f t="shared" si="0"/>
        <v>41857</v>
      </c>
      <c r="K7" s="52">
        <f t="shared" si="0"/>
        <v>41888</v>
      </c>
      <c r="L7" s="52">
        <f t="shared" si="0"/>
        <v>41919</v>
      </c>
      <c r="M7" s="52">
        <f t="shared" si="0"/>
        <v>41950</v>
      </c>
      <c r="N7" s="52">
        <f t="shared" si="0"/>
        <v>41981</v>
      </c>
      <c r="Q7" s="52">
        <v>42005</v>
      </c>
      <c r="R7" s="52">
        <f>+Q7+31</f>
        <v>42036</v>
      </c>
      <c r="S7" s="52">
        <f t="shared" ref="S7:V7" si="1">+R7+31</f>
        <v>42067</v>
      </c>
      <c r="T7" s="52">
        <f t="shared" si="1"/>
        <v>42098</v>
      </c>
      <c r="U7" s="52">
        <f t="shared" si="1"/>
        <v>42129</v>
      </c>
      <c r="V7" s="52">
        <f t="shared" si="1"/>
        <v>42160</v>
      </c>
    </row>
    <row r="9" spans="1:22" x14ac:dyDescent="0.15">
      <c r="A9" s="16" t="s">
        <v>58</v>
      </c>
    </row>
    <row r="10" spans="1:22" x14ac:dyDescent="0.15">
      <c r="A10" t="s">
        <v>56</v>
      </c>
      <c r="C10" s="31">
        <f>+'BS Actual &amp; Forecast'!C10</f>
        <v>1143470.5249999999</v>
      </c>
      <c r="D10" s="31">
        <f>+'BS Actual &amp; Forecast'!D10</f>
        <v>1340164.5615462058</v>
      </c>
      <c r="E10" s="31">
        <f>+'BS Actual &amp; Forecast'!E10</f>
        <v>1381504.0121351893</v>
      </c>
      <c r="F10" s="31">
        <f>+'BS Actual &amp; Forecast'!F10</f>
        <v>1024988.879509558</v>
      </c>
      <c r="G10" s="31">
        <f>+'BS Actual &amp; Forecast'!G10</f>
        <v>1234820.0419533211</v>
      </c>
      <c r="H10" s="31">
        <f>+'BS Actual &amp; Forecast'!H10</f>
        <v>1445426.0000354236</v>
      </c>
      <c r="I10" s="31">
        <f>+'BS Actual &amp; Forecast'!I10</f>
        <v>1515778.7802452419</v>
      </c>
      <c r="J10" s="31">
        <f>+'BS Actual &amp; Forecast'!J10</f>
        <v>2053094.8316713092</v>
      </c>
      <c r="K10" s="31">
        <f>+'BS Actual &amp; Forecast'!K10</f>
        <v>1763674.1533960719</v>
      </c>
      <c r="L10" s="31">
        <f>+'BS Actual &amp; Forecast'!L10</f>
        <v>1470733.9138978163</v>
      </c>
      <c r="M10" s="31">
        <f>+'BS Actual &amp; Forecast'!M10</f>
        <v>1439566.2431089126</v>
      </c>
      <c r="N10" s="31">
        <f>+'BS Actual &amp; Forecast'!N10</f>
        <v>826312.63223657687</v>
      </c>
      <c r="Q10" s="31">
        <f>+'BS Actual &amp; Forecast'!Q10</f>
        <v>975031.52508366399</v>
      </c>
      <c r="R10" s="31">
        <f>+'BS Actual &amp; Forecast'!R10</f>
        <v>1323411.724154375</v>
      </c>
      <c r="S10" s="31">
        <f>+'BS Actual &amp; Forecast'!S10</f>
        <v>1523479.6571072412</v>
      </c>
      <c r="T10" s="31">
        <f>+'BS Actual &amp; Forecast'!T10</f>
        <v>1335275.4985574265</v>
      </c>
      <c r="U10" s="31">
        <f>+'BS Actual &amp; Forecast'!U10</f>
        <v>1176083.0876323741</v>
      </c>
      <c r="V10" s="31">
        <f>+'BS Actual &amp; Forecast'!V10</f>
        <v>1051408.8432631069</v>
      </c>
    </row>
    <row r="11" spans="1:22" x14ac:dyDescent="0.15">
      <c r="A11" t="s">
        <v>59</v>
      </c>
      <c r="C11" s="23">
        <f>+'BS Actual &amp; Forecast'!C11</f>
        <v>2946231</v>
      </c>
      <c r="D11" s="23">
        <f>+'BS Actual &amp; Forecast'!D11</f>
        <v>2924855.1839999999</v>
      </c>
      <c r="E11" s="23">
        <f>+'BS Actual &amp; Forecast'!E11</f>
        <v>2968461.84864</v>
      </c>
      <c r="F11" s="23">
        <f>+'BS Actual &amp; Forecast'!F11</f>
        <v>2916630.5514671998</v>
      </c>
      <c r="G11" s="23">
        <f>+'BS Actual &amp; Forecast'!G11</f>
        <v>2876887.4373143036</v>
      </c>
      <c r="H11" s="23">
        <f>+'BS Actual &amp; Forecast'!H11</f>
        <v>2920604.8628824893</v>
      </c>
      <c r="I11" s="23">
        <f>+'BS Actual &amp; Forecast'!I11</f>
        <v>2858307.531447825</v>
      </c>
      <c r="J11" s="23">
        <f>+'BS Actual &amp; Forecast'!J11</f>
        <v>2932721.5414478253</v>
      </c>
      <c r="K11" s="23">
        <f>+'BS Actual &amp; Forecast'!K11</f>
        <v>2975706.7001377437</v>
      </c>
      <c r="L11" s="23">
        <f>+'BS Actual &amp; Forecast'!L11</f>
        <v>3013533.6397848721</v>
      </c>
      <c r="M11" s="23">
        <f>+'BS Actual &amp; Forecast'!M11</f>
        <v>2959630.2507877145</v>
      </c>
      <c r="N11" s="23">
        <f>+'BS Actual &amp; Forecast'!N11</f>
        <v>2915031.692340699</v>
      </c>
      <c r="Q11" s="23">
        <f>+'BS Actual &amp; Forecast'!Q11</f>
        <v>2850865.4409629945</v>
      </c>
      <c r="R11" s="23">
        <f>+'BS Actual &amp; Forecast'!R11</f>
        <v>2927511.8712629946</v>
      </c>
      <c r="S11" s="23">
        <f>+'BS Actual &amp; Forecast'!S11</f>
        <v>2971786.5847136108</v>
      </c>
      <c r="T11" s="23">
        <f>+'BS Actual &amp; Forecast'!T11</f>
        <v>3010748.3325501531</v>
      </c>
      <c r="U11" s="23">
        <f>+'BS Actual &amp; Forecast'!U11</f>
        <v>2955227.8418830805</v>
      </c>
      <c r="V11" s="23">
        <f>+'BS Actual &amp; Forecast'!V11</f>
        <v>2709291.0152306166</v>
      </c>
    </row>
    <row r="12" spans="1:22" x14ac:dyDescent="0.15">
      <c r="A12" t="s">
        <v>60</v>
      </c>
      <c r="C12" s="35">
        <f>+'BS Actual &amp; Forecast'!C12</f>
        <v>163581</v>
      </c>
      <c r="D12" s="35">
        <f>+'BS Actual &amp; Forecast'!D12</f>
        <v>181493.93380800006</v>
      </c>
      <c r="E12" s="35">
        <f>+'BS Actual &amp; Forecast'!E12</f>
        <v>144384.66219936009</v>
      </c>
      <c r="F12" s="35">
        <f>+'BS Actual &amp; Forecast'!F12</f>
        <v>189063.24036231381</v>
      </c>
      <c r="G12" s="35">
        <f>+'BS Actual &amp; Forecast'!G12</f>
        <v>222725.65804981673</v>
      </c>
      <c r="H12" s="35">
        <f>+'BS Actual &amp; Forecast'!H12</f>
        <v>185915.58572140452</v>
      </c>
      <c r="I12" s="35">
        <f>+'BS Actual &amp; Forecast'!I12</f>
        <v>237871.56013791473</v>
      </c>
      <c r="J12" s="35">
        <f>+'BS Actual &amp; Forecast'!J12</f>
        <v>174247.58158791461</v>
      </c>
      <c r="K12" s="35">
        <f>+'BS Actual &amp; Forecast'!K12</f>
        <v>137882.13733624364</v>
      </c>
      <c r="L12" s="35">
        <f>+'BS Actual &amp; Forecast'!L12</f>
        <v>104934.87290359498</v>
      </c>
      <c r="M12" s="35">
        <f>+'BS Actual &amp; Forecast'!M12</f>
        <v>150537.13999519055</v>
      </c>
      <c r="N12" s="35">
        <f>+'BS Actual &amp; Forecast'!N12</f>
        <v>188044.52764913067</v>
      </c>
      <c r="Q12" s="35">
        <f>+'BS Actual &amp; Forecast'!Q12</f>
        <v>243163.33758257888</v>
      </c>
      <c r="R12" s="35">
        <f>+'BS Actual &amp; Forecast'!R12</f>
        <v>178856.98256087885</v>
      </c>
      <c r="S12" s="35">
        <f>+'BS Actual &amp; Forecast'!S12</f>
        <v>141621.94854891067</v>
      </c>
      <c r="T12" s="35">
        <f>+'BS Actual &amp; Forecast'!T12</f>
        <v>107647.30443544593</v>
      </c>
      <c r="U12" s="35">
        <f>+'BS Actual &amp; Forecast'!U12</f>
        <v>154673.16003045649</v>
      </c>
      <c r="V12" s="35">
        <f>+'BS Actual &amp; Forecast'!V12</f>
        <v>193765.13446601923</v>
      </c>
    </row>
    <row r="13" spans="1:22" x14ac:dyDescent="0.15">
      <c r="A13" t="s">
        <v>61</v>
      </c>
      <c r="C13" s="24">
        <f>+'BS Actual &amp; Forecast'!C14</f>
        <v>24876</v>
      </c>
      <c r="D13" s="24">
        <f>+'BS Actual &amp; Forecast'!D14</f>
        <v>25876</v>
      </c>
      <c r="E13" s="24">
        <f>+'BS Actual &amp; Forecast'!E14</f>
        <v>25876</v>
      </c>
      <c r="F13" s="24">
        <f>+'BS Actual &amp; Forecast'!F14</f>
        <v>25876</v>
      </c>
      <c r="G13" s="24">
        <f>+'BS Actual &amp; Forecast'!G14</f>
        <v>25876</v>
      </c>
      <c r="H13" s="24">
        <f>+'BS Actual &amp; Forecast'!H14</f>
        <v>25876</v>
      </c>
      <c r="I13" s="24">
        <f>+'BS Actual &amp; Forecast'!I14</f>
        <v>25876</v>
      </c>
      <c r="J13" s="24">
        <f>+'BS Actual &amp; Forecast'!J14</f>
        <v>23376</v>
      </c>
      <c r="K13" s="24">
        <f>+'BS Actual &amp; Forecast'!K14</f>
        <v>23376</v>
      </c>
      <c r="L13" s="24">
        <f>+'BS Actual &amp; Forecast'!L14</f>
        <v>23376</v>
      </c>
      <c r="M13" s="24">
        <f>+'BS Actual &amp; Forecast'!M14</f>
        <v>23376</v>
      </c>
      <c r="N13" s="24">
        <f>+'BS Actual &amp; Forecast'!N14</f>
        <v>23376</v>
      </c>
      <c r="Q13" s="24">
        <f>+'BS Actual &amp; Forecast'!Q14</f>
        <v>23376</v>
      </c>
      <c r="R13" s="24">
        <f>+'BS Actual &amp; Forecast'!R14</f>
        <v>23376</v>
      </c>
      <c r="S13" s="24">
        <f>+'BS Actual &amp; Forecast'!S14</f>
        <v>23376</v>
      </c>
      <c r="T13" s="24">
        <f>+'BS Actual &amp; Forecast'!T14</f>
        <v>23376</v>
      </c>
      <c r="U13" s="24">
        <f>+'BS Actual &amp; Forecast'!U14</f>
        <v>23376</v>
      </c>
      <c r="V13" s="24">
        <f>+'BS Actual &amp; Forecast'!V14</f>
        <v>23376</v>
      </c>
    </row>
    <row r="14" spans="1:22" x14ac:dyDescent="0.15">
      <c r="A14" t="s">
        <v>62</v>
      </c>
      <c r="C14" s="23">
        <f>SUM(C10:C13)</f>
        <v>4278158.5250000004</v>
      </c>
      <c r="D14" s="23">
        <f t="shared" ref="D14:N14" si="2">SUM(D10:D13)</f>
        <v>4472389.6793542057</v>
      </c>
      <c r="E14" s="23">
        <f t="shared" si="2"/>
        <v>4520226.5229745498</v>
      </c>
      <c r="F14" s="23">
        <f t="shared" si="2"/>
        <v>4156558.6713390714</v>
      </c>
      <c r="G14" s="23">
        <f t="shared" si="2"/>
        <v>4360309.1373174414</v>
      </c>
      <c r="H14" s="23">
        <f t="shared" si="2"/>
        <v>4577822.4486393174</v>
      </c>
      <c r="I14" s="23">
        <f t="shared" si="2"/>
        <v>4637833.8718309812</v>
      </c>
      <c r="J14" s="23">
        <f t="shared" si="2"/>
        <v>5183439.9547070488</v>
      </c>
      <c r="K14" s="23">
        <f t="shared" si="2"/>
        <v>4900638.9908700595</v>
      </c>
      <c r="L14" s="23">
        <f t="shared" si="2"/>
        <v>4612578.4265862834</v>
      </c>
      <c r="M14" s="23">
        <f t="shared" si="2"/>
        <v>4573109.6338918172</v>
      </c>
      <c r="N14" s="23">
        <f t="shared" si="2"/>
        <v>3952764.8522264063</v>
      </c>
      <c r="Q14" s="23">
        <f>SUM(Q10:Q13)</f>
        <v>4092436.3036292372</v>
      </c>
      <c r="R14" s="23">
        <f t="shared" ref="R14" si="3">SUM(R10:R13)</f>
        <v>4453156.5779782478</v>
      </c>
      <c r="S14" s="23">
        <f t="shared" ref="S14" si="4">SUM(S10:S13)</f>
        <v>4660264.1903697625</v>
      </c>
      <c r="T14" s="23">
        <f t="shared" ref="T14" si="5">SUM(T10:T13)</f>
        <v>4477047.1355430251</v>
      </c>
      <c r="U14" s="23">
        <f t="shared" ref="U14" si="6">SUM(U10:U13)</f>
        <v>4309360.0895459112</v>
      </c>
      <c r="V14" s="23">
        <f t="shared" ref="V14" si="7">SUM(V10:V13)</f>
        <v>3977840.9929597424</v>
      </c>
    </row>
    <row r="15" spans="1:22" x14ac:dyDescent="0.15"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Q15" s="23"/>
      <c r="R15" s="23"/>
      <c r="S15" s="23"/>
      <c r="T15" s="23"/>
      <c r="U15" s="23"/>
      <c r="V15" s="23"/>
    </row>
    <row r="16" spans="1:22" x14ac:dyDescent="0.15">
      <c r="A16" s="16" t="s">
        <v>63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Q16" s="23"/>
      <c r="R16" s="23"/>
      <c r="S16" s="23"/>
      <c r="T16" s="23"/>
      <c r="U16" s="23"/>
      <c r="V16" s="23"/>
    </row>
    <row r="17" spans="1:22" x14ac:dyDescent="0.15">
      <c r="A17" t="s">
        <v>64</v>
      </c>
      <c r="C17" s="35">
        <f>+'BS Actual &amp; Forecast'!C18</f>
        <v>202333</v>
      </c>
      <c r="D17" s="35">
        <f>+'BS Actual &amp; Forecast'!D18</f>
        <v>202333</v>
      </c>
      <c r="E17" s="35">
        <f>+'BS Actual &amp; Forecast'!E18</f>
        <v>217878</v>
      </c>
      <c r="F17" s="35">
        <f>+'BS Actual &amp; Forecast'!F18</f>
        <v>217878</v>
      </c>
      <c r="G17" s="35">
        <f>+'BS Actual &amp; Forecast'!G18</f>
        <v>221468</v>
      </c>
      <c r="H17" s="35">
        <f>+'BS Actual &amp; Forecast'!H18</f>
        <v>221468</v>
      </c>
      <c r="I17" s="35">
        <f>+'BS Actual &amp; Forecast'!I18</f>
        <v>221468</v>
      </c>
      <c r="J17" s="35">
        <f>+'BS Actual &amp; Forecast'!J18</f>
        <v>245457</v>
      </c>
      <c r="K17" s="35">
        <f>+'BS Actual &amp; Forecast'!K18</f>
        <v>245457</v>
      </c>
      <c r="L17" s="35">
        <f>+'BS Actual &amp; Forecast'!L18</f>
        <v>249927</v>
      </c>
      <c r="M17" s="35">
        <f>+'BS Actual &amp; Forecast'!M18</f>
        <v>249927</v>
      </c>
      <c r="N17" s="35">
        <f>+'BS Actual &amp; Forecast'!N18</f>
        <v>249927</v>
      </c>
      <c r="Q17" s="35">
        <f>+'BS Actual &amp; Forecast'!Q18</f>
        <v>261177</v>
      </c>
      <c r="R17" s="35">
        <f>+'BS Actual &amp; Forecast'!R18</f>
        <v>261177</v>
      </c>
      <c r="S17" s="35">
        <f>+'BS Actual &amp; Forecast'!S18</f>
        <v>279929</v>
      </c>
      <c r="T17" s="35">
        <f>+'BS Actual &amp; Forecast'!T18</f>
        <v>279929</v>
      </c>
      <c r="U17" s="35">
        <f>+'BS Actual &amp; Forecast'!U18</f>
        <v>279929</v>
      </c>
      <c r="V17" s="35">
        <f>+'BS Actual &amp; Forecast'!V18</f>
        <v>279929</v>
      </c>
    </row>
    <row r="18" spans="1:22" x14ac:dyDescent="0.15">
      <c r="A18" t="s">
        <v>85</v>
      </c>
      <c r="C18" s="24">
        <f>+'BS Actual &amp; Forecast'!C19</f>
        <v>251590</v>
      </c>
      <c r="D18" s="24">
        <f>+'BS Actual &amp; Forecast'!D19</f>
        <v>251590</v>
      </c>
      <c r="E18" s="24">
        <f>+'BS Actual &amp; Forecast'!E19</f>
        <v>251590</v>
      </c>
      <c r="F18" s="24">
        <f>+'BS Actual &amp; Forecast'!F19</f>
        <v>251590</v>
      </c>
      <c r="G18" s="24">
        <f>+'BS Actual &amp; Forecast'!G19</f>
        <v>251590</v>
      </c>
      <c r="H18" s="24">
        <f>+'BS Actual &amp; Forecast'!H19</f>
        <v>251590</v>
      </c>
      <c r="I18" s="24">
        <f>+'BS Actual &amp; Forecast'!I19</f>
        <v>251590</v>
      </c>
      <c r="J18" s="24">
        <f>+'BS Actual &amp; Forecast'!J19</f>
        <v>251590</v>
      </c>
      <c r="K18" s="24">
        <f>+'BS Actual &amp; Forecast'!K19</f>
        <v>251590</v>
      </c>
      <c r="L18" s="24">
        <f>+'BS Actual &amp; Forecast'!L19</f>
        <v>251590</v>
      </c>
      <c r="M18" s="24">
        <f>+'BS Actual &amp; Forecast'!M19</f>
        <v>251590</v>
      </c>
      <c r="N18" s="24">
        <f>+'BS Actual &amp; Forecast'!N19</f>
        <v>251590</v>
      </c>
      <c r="Q18" s="24">
        <f>+'BS Actual &amp; Forecast'!Q19</f>
        <v>251590</v>
      </c>
      <c r="R18" s="24">
        <f>+'BS Actual &amp; Forecast'!R19</f>
        <v>251590</v>
      </c>
      <c r="S18" s="24">
        <f>+'BS Actual &amp; Forecast'!S19</f>
        <v>251590</v>
      </c>
      <c r="T18" s="24">
        <f>+'BS Actual &amp; Forecast'!T19</f>
        <v>251590</v>
      </c>
      <c r="U18" s="24">
        <f>+'BS Actual &amp; Forecast'!U19</f>
        <v>251590</v>
      </c>
      <c r="V18" s="24">
        <f>+'BS Actual &amp; Forecast'!V19</f>
        <v>251590</v>
      </c>
    </row>
    <row r="19" spans="1:22" x14ac:dyDescent="0.15">
      <c r="A19" t="s">
        <v>65</v>
      </c>
      <c r="C19" s="23">
        <f>SUM(C17:C18)</f>
        <v>453923</v>
      </c>
      <c r="D19" s="23">
        <f t="shared" ref="D19:N19" si="8">SUM(D17:D18)</f>
        <v>453923</v>
      </c>
      <c r="E19" s="23">
        <f t="shared" si="8"/>
        <v>469468</v>
      </c>
      <c r="F19" s="23">
        <f t="shared" si="8"/>
        <v>469468</v>
      </c>
      <c r="G19" s="23">
        <f t="shared" si="8"/>
        <v>473058</v>
      </c>
      <c r="H19" s="23">
        <f t="shared" si="8"/>
        <v>473058</v>
      </c>
      <c r="I19" s="23">
        <f t="shared" si="8"/>
        <v>473058</v>
      </c>
      <c r="J19" s="23">
        <f t="shared" si="8"/>
        <v>497047</v>
      </c>
      <c r="K19" s="23">
        <f t="shared" si="8"/>
        <v>497047</v>
      </c>
      <c r="L19" s="23">
        <f t="shared" si="8"/>
        <v>501517</v>
      </c>
      <c r="M19" s="23">
        <f t="shared" si="8"/>
        <v>501517</v>
      </c>
      <c r="N19" s="23">
        <f t="shared" si="8"/>
        <v>501517</v>
      </c>
      <c r="Q19" s="23">
        <f>SUM(Q17:Q18)</f>
        <v>512767</v>
      </c>
      <c r="R19" s="23">
        <f t="shared" ref="R19" si="9">SUM(R17:R18)</f>
        <v>512767</v>
      </c>
      <c r="S19" s="23">
        <f t="shared" ref="S19" si="10">SUM(S17:S18)</f>
        <v>531519</v>
      </c>
      <c r="T19" s="23">
        <f t="shared" ref="T19" si="11">SUM(T17:T18)</f>
        <v>531519</v>
      </c>
      <c r="U19" s="23">
        <f t="shared" ref="U19" si="12">SUM(U17:U18)</f>
        <v>531519</v>
      </c>
      <c r="V19" s="23">
        <f t="shared" ref="V19" si="13">SUM(V17:V18)</f>
        <v>531519</v>
      </c>
    </row>
    <row r="20" spans="1:22" x14ac:dyDescent="0.15">
      <c r="A20" t="s">
        <v>66</v>
      </c>
      <c r="C20" s="24">
        <f>+'BS Actual &amp; Forecast'!C21</f>
        <v>-150000</v>
      </c>
      <c r="D20" s="24">
        <f>+'BS Actual &amp; Forecast'!D21</f>
        <v>-155475</v>
      </c>
      <c r="E20" s="24">
        <f>+'BS Actual &amp; Forecast'!E21</f>
        <v>-160950</v>
      </c>
      <c r="F20" s="24">
        <f>+'BS Actual &amp; Forecast'!F21</f>
        <v>-166425</v>
      </c>
      <c r="G20" s="24">
        <f>+'BS Actual &amp; Forecast'!G21</f>
        <v>-171900</v>
      </c>
      <c r="H20" s="24">
        <f>+'BS Actual &amp; Forecast'!H21</f>
        <v>-177375</v>
      </c>
      <c r="I20" s="24">
        <f>+'BS Actual &amp; Forecast'!I21</f>
        <v>-182850</v>
      </c>
      <c r="J20" s="24">
        <f>+'BS Actual &amp; Forecast'!J21</f>
        <v>-188325</v>
      </c>
      <c r="K20" s="24">
        <f>+'BS Actual &amp; Forecast'!K21</f>
        <v>-193800</v>
      </c>
      <c r="L20" s="24">
        <f>+'BS Actual &amp; Forecast'!L21</f>
        <v>-199275</v>
      </c>
      <c r="M20" s="24">
        <f>+'BS Actual &amp; Forecast'!M21</f>
        <v>-204750</v>
      </c>
      <c r="N20" s="24">
        <f>+'BS Actual &amp; Forecast'!N21</f>
        <v>-215100</v>
      </c>
      <c r="Q20" s="24">
        <f>+'BS Actual &amp; Forecast'!Q21</f>
        <v>-220950</v>
      </c>
      <c r="R20" s="24">
        <f>+'BS Actual &amp; Forecast'!R21</f>
        <v>-226800</v>
      </c>
      <c r="S20" s="24">
        <f>+'BS Actual &amp; Forecast'!S21</f>
        <v>-232650</v>
      </c>
      <c r="T20" s="24">
        <f>+'BS Actual &amp; Forecast'!T21</f>
        <v>-238500</v>
      </c>
      <c r="U20" s="24">
        <f>+'BS Actual &amp; Forecast'!U21</f>
        <v>-244350</v>
      </c>
      <c r="V20" s="24">
        <f>+'BS Actual &amp; Forecast'!V21</f>
        <v>-250200</v>
      </c>
    </row>
    <row r="21" spans="1:22" x14ac:dyDescent="0.15">
      <c r="A21" t="s">
        <v>67</v>
      </c>
      <c r="C21" s="23">
        <f>SUM(C19:C20)</f>
        <v>303923</v>
      </c>
      <c r="D21" s="23">
        <f t="shared" ref="D21:N21" si="14">SUM(D19:D20)</f>
        <v>298448</v>
      </c>
      <c r="E21" s="23">
        <f t="shared" si="14"/>
        <v>308518</v>
      </c>
      <c r="F21" s="23">
        <f t="shared" si="14"/>
        <v>303043</v>
      </c>
      <c r="G21" s="23">
        <f t="shared" si="14"/>
        <v>301158</v>
      </c>
      <c r="H21" s="23">
        <f t="shared" si="14"/>
        <v>295683</v>
      </c>
      <c r="I21" s="23">
        <f t="shared" si="14"/>
        <v>290208</v>
      </c>
      <c r="J21" s="23">
        <f t="shared" si="14"/>
        <v>308722</v>
      </c>
      <c r="K21" s="23">
        <f t="shared" si="14"/>
        <v>303247</v>
      </c>
      <c r="L21" s="23">
        <f t="shared" si="14"/>
        <v>302242</v>
      </c>
      <c r="M21" s="23">
        <f t="shared" si="14"/>
        <v>296767</v>
      </c>
      <c r="N21" s="23">
        <f t="shared" si="14"/>
        <v>286417</v>
      </c>
      <c r="Q21" s="23">
        <f>SUM(Q19:Q20)</f>
        <v>291817</v>
      </c>
      <c r="R21" s="23">
        <f t="shared" ref="R21" si="15">SUM(R19:R20)</f>
        <v>285967</v>
      </c>
      <c r="S21" s="23">
        <f t="shared" ref="S21" si="16">SUM(S19:S20)</f>
        <v>298869</v>
      </c>
      <c r="T21" s="23">
        <f t="shared" ref="T21" si="17">SUM(T19:T20)</f>
        <v>293019</v>
      </c>
      <c r="U21" s="23">
        <f t="shared" ref="U21" si="18">SUM(U19:U20)</f>
        <v>287169</v>
      </c>
      <c r="V21" s="23">
        <f t="shared" ref="V21" si="19">SUM(V19:V20)</f>
        <v>281319</v>
      </c>
    </row>
    <row r="22" spans="1:22" x14ac:dyDescent="0.15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Q22" s="23"/>
      <c r="R22" s="23"/>
      <c r="S22" s="23"/>
      <c r="T22" s="23"/>
      <c r="U22" s="23"/>
      <c r="V22" s="23"/>
    </row>
    <row r="23" spans="1:22" x14ac:dyDescent="0.15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Q23" s="23"/>
      <c r="R23" s="23"/>
      <c r="S23" s="23"/>
      <c r="T23" s="23"/>
      <c r="U23" s="23"/>
      <c r="V23" s="23"/>
    </row>
    <row r="24" spans="1:22" ht="14" thickBot="1" x14ac:dyDescent="0.2">
      <c r="A24" t="s">
        <v>68</v>
      </c>
      <c r="C24" s="32">
        <f>C14+C21</f>
        <v>4582081.5250000004</v>
      </c>
      <c r="D24" s="32">
        <f t="shared" ref="D24:N24" si="20">D14+D21</f>
        <v>4770837.6793542057</v>
      </c>
      <c r="E24" s="32">
        <f t="shared" si="20"/>
        <v>4828744.5229745498</v>
      </c>
      <c r="F24" s="32">
        <f t="shared" si="20"/>
        <v>4459601.6713390714</v>
      </c>
      <c r="G24" s="32">
        <f t="shared" si="20"/>
        <v>4661467.1373174414</v>
      </c>
      <c r="H24" s="32">
        <f t="shared" si="20"/>
        <v>4873505.4486393174</v>
      </c>
      <c r="I24" s="32">
        <f t="shared" si="20"/>
        <v>4928041.8718309812</v>
      </c>
      <c r="J24" s="32">
        <f t="shared" si="20"/>
        <v>5492161.9547070488</v>
      </c>
      <c r="K24" s="32">
        <f t="shared" si="20"/>
        <v>5203885.9908700595</v>
      </c>
      <c r="L24" s="32">
        <f t="shared" si="20"/>
        <v>4914820.4265862834</v>
      </c>
      <c r="M24" s="32">
        <f t="shared" si="20"/>
        <v>4869876.6338918172</v>
      </c>
      <c r="N24" s="32">
        <f t="shared" si="20"/>
        <v>4239181.8522264063</v>
      </c>
      <c r="Q24" s="32">
        <f>Q14+Q21</f>
        <v>4384253.3036292372</v>
      </c>
      <c r="R24" s="32">
        <f t="shared" ref="R24:V24" si="21">R14+R21</f>
        <v>4739123.5779782478</v>
      </c>
      <c r="S24" s="32">
        <f t="shared" si="21"/>
        <v>4959133.1903697625</v>
      </c>
      <c r="T24" s="32">
        <f t="shared" si="21"/>
        <v>4770066.1355430251</v>
      </c>
      <c r="U24" s="32">
        <f t="shared" si="21"/>
        <v>4596529.0895459112</v>
      </c>
      <c r="V24" s="32">
        <f t="shared" si="21"/>
        <v>4259159.9929597424</v>
      </c>
    </row>
    <row r="25" spans="1:22" ht="14" thickTop="1" x14ac:dyDescent="0.1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Q25" s="23"/>
      <c r="R25" s="23"/>
      <c r="S25" s="23"/>
      <c r="T25" s="23"/>
      <c r="U25" s="23"/>
      <c r="V25" s="23"/>
    </row>
    <row r="26" spans="1:22" x14ac:dyDescent="0.1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Q26" s="23"/>
      <c r="R26" s="23"/>
      <c r="S26" s="23"/>
      <c r="T26" s="23"/>
      <c r="U26" s="23"/>
      <c r="V26" s="23"/>
    </row>
    <row r="27" spans="1:22" x14ac:dyDescent="0.15">
      <c r="A27" s="25" t="s">
        <v>78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Q27" s="23"/>
      <c r="R27" s="23"/>
      <c r="S27" s="23"/>
      <c r="T27" s="23"/>
      <c r="U27" s="23"/>
      <c r="V27" s="23"/>
    </row>
    <row r="28" spans="1:22" x14ac:dyDescent="0.1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Q28" s="23"/>
      <c r="R28" s="23"/>
      <c r="S28" s="23"/>
      <c r="T28" s="23"/>
      <c r="U28" s="23"/>
      <c r="V28" s="23"/>
    </row>
    <row r="29" spans="1:22" x14ac:dyDescent="0.15">
      <c r="A29" s="16" t="s">
        <v>69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Q29" s="23"/>
      <c r="R29" s="23"/>
      <c r="S29" s="23"/>
      <c r="T29" s="23"/>
      <c r="U29" s="23"/>
      <c r="V29" s="23"/>
    </row>
    <row r="30" spans="1:22" x14ac:dyDescent="0.15">
      <c r="A30" t="s">
        <v>70</v>
      </c>
      <c r="C30" s="42">
        <f>+'BS Actual &amp; Forecast'!C31</f>
        <v>1684389</v>
      </c>
      <c r="D30" s="42">
        <f>+'BS Actual &amp; Forecast'!D31</f>
        <v>1813866.5656542056</v>
      </c>
      <c r="E30" s="42">
        <f>+'BS Actual &amp; Forecast'!E31</f>
        <v>1878845.4132686919</v>
      </c>
      <c r="F30" s="42">
        <f>+'BS Actual &amp; Forecast'!F31</f>
        <v>1508053.3428971558</v>
      </c>
      <c r="G30" s="42">
        <f>+'BS Actual &amp; Forecast'!G31</f>
        <v>1704330.9213585944</v>
      </c>
      <c r="H30" s="42">
        <f>+'BS Actual &amp; Forecast'!H31</f>
        <v>1863696.9295895279</v>
      </c>
      <c r="I30" s="42">
        <f>+'BS Actual &amp; Forecast'!I31</f>
        <v>1753690.1155745639</v>
      </c>
      <c r="J30" s="42">
        <f>+'BS Actual &amp; Forecast'!J31</f>
        <v>2147524.7755377875</v>
      </c>
      <c r="K30" s="42">
        <f>+'BS Actual &amp; Forecast'!K31</f>
        <v>1841185.3742185177</v>
      </c>
      <c r="L30" s="42">
        <f>+'BS Actual &amp; Forecast'!L31</f>
        <v>1668122.6544101767</v>
      </c>
      <c r="M30" s="42">
        <f>+'BS Actual &amp; Forecast'!M31</f>
        <v>1539230.9728466806</v>
      </c>
      <c r="N30" s="42">
        <f>+'BS Actual &amp; Forecast'!N31</f>
        <v>1266001.3738253806</v>
      </c>
      <c r="Q30" s="42">
        <f>+'BS Actual &amp; Forecast'!Q31</f>
        <v>1341438.3738253806</v>
      </c>
      <c r="R30" s="42">
        <f>+'BS Actual &amp; Forecast'!R31</f>
        <v>1610436.3738253806</v>
      </c>
      <c r="S30" s="42">
        <f>+'BS Actual &amp; Forecast'!S31</f>
        <v>1777769.3738253806</v>
      </c>
      <c r="T30" s="42">
        <f>+'BS Actual &amp; Forecast'!T31</f>
        <v>1622103.5751470202</v>
      </c>
      <c r="U30" s="42">
        <f>+'BS Actual &amp; Forecast'!U31</f>
        <v>1496818.396493176</v>
      </c>
      <c r="V30" s="42">
        <f>+'BS Actual &amp; Forecast'!V31</f>
        <v>1244285.4202231565</v>
      </c>
    </row>
    <row r="31" spans="1:22" x14ac:dyDescent="0.15">
      <c r="A31" t="s">
        <v>86</v>
      </c>
      <c r="C31" s="24">
        <f>+'BS Actual &amp; Forecast'!C32</f>
        <v>478250</v>
      </c>
      <c r="D31" s="24">
        <f>+'BS Actual &amp; Forecast'!D32</f>
        <v>468250</v>
      </c>
      <c r="E31" s="24">
        <f>+'BS Actual &amp; Forecast'!E32</f>
        <v>458250</v>
      </c>
      <c r="F31" s="24">
        <f>+'BS Actual &amp; Forecast'!F32</f>
        <v>448250</v>
      </c>
      <c r="G31" s="24">
        <f>+'BS Actual &amp; Forecast'!G32</f>
        <v>438250</v>
      </c>
      <c r="H31" s="24">
        <f>+'BS Actual &amp; Forecast'!H32</f>
        <v>428250</v>
      </c>
      <c r="I31" s="24">
        <f>+'BS Actual &amp; Forecast'!I32</f>
        <v>418250</v>
      </c>
      <c r="J31" s="24">
        <f>+'BS Actual &amp; Forecast'!J32</f>
        <v>408250</v>
      </c>
      <c r="K31" s="24">
        <f>+'BS Actual &amp; Forecast'!K32</f>
        <v>398250</v>
      </c>
      <c r="L31" s="24">
        <f>+'BS Actual &amp; Forecast'!L32</f>
        <v>388250</v>
      </c>
      <c r="M31" s="24">
        <f>+'BS Actual &amp; Forecast'!M32</f>
        <v>378250</v>
      </c>
      <c r="N31" s="24">
        <f>+'BS Actual &amp; Forecast'!N32</f>
        <v>368250</v>
      </c>
      <c r="Q31" s="24">
        <f>+'BS Actual &amp; Forecast'!Q32</f>
        <v>358250</v>
      </c>
      <c r="R31" s="24">
        <f>+'BS Actual &amp; Forecast'!R32</f>
        <v>348250</v>
      </c>
      <c r="S31" s="24">
        <f>+'BS Actual &amp; Forecast'!S32</f>
        <v>338250</v>
      </c>
      <c r="T31" s="24">
        <f>+'BS Actual &amp; Forecast'!T32</f>
        <v>328250</v>
      </c>
      <c r="U31" s="24">
        <f>+'BS Actual &amp; Forecast'!U32</f>
        <v>318250</v>
      </c>
      <c r="V31" s="24">
        <f>+'BS Actual &amp; Forecast'!V32</f>
        <v>308250</v>
      </c>
    </row>
    <row r="32" spans="1:22" x14ac:dyDescent="0.15">
      <c r="A32" t="s">
        <v>71</v>
      </c>
      <c r="C32" s="23">
        <f>SUM(C30:C31)</f>
        <v>2162639</v>
      </c>
      <c r="D32" s="23">
        <f t="shared" ref="D32:N32" si="22">SUM(D30:D31)</f>
        <v>2282116.5656542056</v>
      </c>
      <c r="E32" s="23">
        <f t="shared" si="22"/>
        <v>2337095.4132686919</v>
      </c>
      <c r="F32" s="23">
        <f t="shared" si="22"/>
        <v>1956303.3428971558</v>
      </c>
      <c r="G32" s="23">
        <f t="shared" si="22"/>
        <v>2142580.9213585947</v>
      </c>
      <c r="H32" s="23">
        <f t="shared" si="22"/>
        <v>2291946.9295895277</v>
      </c>
      <c r="I32" s="23">
        <f t="shared" si="22"/>
        <v>2171940.1155745639</v>
      </c>
      <c r="J32" s="23">
        <f t="shared" si="22"/>
        <v>2555774.7755377875</v>
      </c>
      <c r="K32" s="23">
        <f t="shared" si="22"/>
        <v>2239435.3742185179</v>
      </c>
      <c r="L32" s="23">
        <f t="shared" si="22"/>
        <v>2056372.6544101767</v>
      </c>
      <c r="M32" s="23">
        <f t="shared" si="22"/>
        <v>1917480.9728466806</v>
      </c>
      <c r="N32" s="23">
        <f t="shared" si="22"/>
        <v>1634251.3738253806</v>
      </c>
      <c r="Q32" s="23">
        <f>SUM(Q30:Q31)</f>
        <v>1699688.3738253806</v>
      </c>
      <c r="R32" s="23">
        <f t="shared" ref="R32" si="23">SUM(R30:R31)</f>
        <v>1958686.3738253806</v>
      </c>
      <c r="S32" s="23">
        <f t="shared" ref="S32" si="24">SUM(S30:S31)</f>
        <v>2116019.3738253806</v>
      </c>
      <c r="T32" s="23">
        <f t="shared" ref="T32" si="25">SUM(T30:T31)</f>
        <v>1950353.5751470202</v>
      </c>
      <c r="U32" s="23">
        <f t="shared" ref="U32" si="26">SUM(U30:U31)</f>
        <v>1815068.396493176</v>
      </c>
      <c r="V32" s="23">
        <f t="shared" ref="V32" si="27">SUM(V30:V31)</f>
        <v>1552535.4202231565</v>
      </c>
    </row>
    <row r="33" spans="1:22" x14ac:dyDescent="0.15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Q33" s="23"/>
      <c r="R33" s="23"/>
      <c r="S33" s="23"/>
      <c r="T33" s="23"/>
      <c r="U33" s="23"/>
      <c r="V33" s="23"/>
    </row>
    <row r="34" spans="1:22" x14ac:dyDescent="0.15">
      <c r="A34" s="16" t="s">
        <v>72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Q34" s="23"/>
      <c r="R34" s="23"/>
      <c r="S34" s="23"/>
      <c r="T34" s="23"/>
      <c r="U34" s="23"/>
      <c r="V34" s="23"/>
    </row>
    <row r="35" spans="1:22" x14ac:dyDescent="0.15">
      <c r="A35" t="s">
        <v>73</v>
      </c>
      <c r="C35" s="35">
        <f>+'BS Actual &amp; Forecast'!C37</f>
        <v>1169245</v>
      </c>
      <c r="D35" s="35">
        <f>+'BS Actual &amp; Forecast'!D37</f>
        <v>1164245</v>
      </c>
      <c r="E35" s="35">
        <f>+'BS Actual &amp; Forecast'!E37</f>
        <v>1159245</v>
      </c>
      <c r="F35" s="35">
        <f>+'BS Actual &amp; Forecast'!F37</f>
        <v>1154245</v>
      </c>
      <c r="G35" s="35">
        <f>+'BS Actual &amp; Forecast'!G37</f>
        <v>1149245</v>
      </c>
      <c r="H35" s="35">
        <f>+'BS Actual &amp; Forecast'!H37</f>
        <v>1144245</v>
      </c>
      <c r="I35" s="35">
        <f>+'BS Actual &amp; Forecast'!I37</f>
        <v>1139245</v>
      </c>
      <c r="J35" s="35">
        <f>+'BS Actual &amp; Forecast'!J37</f>
        <v>1134245</v>
      </c>
      <c r="K35" s="35">
        <f>+'BS Actual &amp; Forecast'!K37</f>
        <v>1129245</v>
      </c>
      <c r="L35" s="35">
        <f>+'BS Actual &amp; Forecast'!L37</f>
        <v>1124245</v>
      </c>
      <c r="M35" s="35">
        <f>+'BS Actual &amp; Forecast'!M37</f>
        <v>1119245</v>
      </c>
      <c r="N35" s="35">
        <f>+'BS Actual &amp; Forecast'!N37</f>
        <v>1114245</v>
      </c>
      <c r="Q35" s="35">
        <f>+'BS Actual &amp; Forecast'!Q37</f>
        <v>1109245</v>
      </c>
      <c r="R35" s="35">
        <f>+'BS Actual &amp; Forecast'!R37</f>
        <v>1104245</v>
      </c>
      <c r="S35" s="35">
        <f>+'BS Actual &amp; Forecast'!S37</f>
        <v>1099245</v>
      </c>
      <c r="T35" s="35">
        <f>+'BS Actual &amp; Forecast'!T37</f>
        <v>1094245</v>
      </c>
      <c r="U35" s="35">
        <f>+'BS Actual &amp; Forecast'!U37</f>
        <v>1089245</v>
      </c>
      <c r="V35" s="35">
        <f>+'BS Actual &amp; Forecast'!V37</f>
        <v>1084245</v>
      </c>
    </row>
    <row r="36" spans="1:22" x14ac:dyDescent="0.15"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Q36" s="23"/>
      <c r="R36" s="23"/>
      <c r="S36" s="23"/>
      <c r="T36" s="23"/>
      <c r="U36" s="23"/>
      <c r="V36" s="23"/>
    </row>
    <row r="37" spans="1:22" x14ac:dyDescent="0.15">
      <c r="A37" s="16" t="s">
        <v>74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Q37" s="23"/>
      <c r="R37" s="23"/>
      <c r="S37" s="23"/>
      <c r="T37" s="23"/>
      <c r="U37" s="23"/>
      <c r="V37" s="23"/>
    </row>
    <row r="38" spans="1:22" x14ac:dyDescent="0.15">
      <c r="A38" s="26" t="s">
        <v>87</v>
      </c>
      <c r="C38" s="35">
        <f>+'BS Actual &amp; Forecast'!C40</f>
        <v>500000</v>
      </c>
      <c r="D38" s="35">
        <f>+'BS Actual &amp; Forecast'!D40</f>
        <v>500000</v>
      </c>
      <c r="E38" s="35">
        <f>+'BS Actual &amp; Forecast'!E40</f>
        <v>500000</v>
      </c>
      <c r="F38" s="35">
        <f>+'BS Actual &amp; Forecast'!F40</f>
        <v>500000</v>
      </c>
      <c r="G38" s="35">
        <f>+'BS Actual &amp; Forecast'!G40</f>
        <v>500000</v>
      </c>
      <c r="H38" s="35">
        <f>+'BS Actual &amp; Forecast'!H40</f>
        <v>500000</v>
      </c>
      <c r="I38" s="35">
        <f>+'BS Actual &amp; Forecast'!I40</f>
        <v>500000</v>
      </c>
      <c r="J38" s="35">
        <f>+'BS Actual &amp; Forecast'!J40</f>
        <v>500000</v>
      </c>
      <c r="K38" s="35">
        <f>+'BS Actual &amp; Forecast'!K40</f>
        <v>500000</v>
      </c>
      <c r="L38" s="35">
        <f>+'BS Actual &amp; Forecast'!L40</f>
        <v>500000</v>
      </c>
      <c r="M38" s="35">
        <f>+'BS Actual &amp; Forecast'!M40</f>
        <v>500000</v>
      </c>
      <c r="N38" s="35">
        <f>+'BS Actual &amp; Forecast'!N40</f>
        <v>500000</v>
      </c>
      <c r="Q38" s="35">
        <f>+'BS Actual &amp; Forecast'!Q40</f>
        <v>500000</v>
      </c>
      <c r="R38" s="35">
        <f>+'BS Actual &amp; Forecast'!R40</f>
        <v>500000</v>
      </c>
      <c r="S38" s="35">
        <f>+'BS Actual &amp; Forecast'!S40</f>
        <v>500000</v>
      </c>
      <c r="T38" s="35">
        <f>+'BS Actual &amp; Forecast'!T40</f>
        <v>500000</v>
      </c>
      <c r="U38" s="35">
        <f>+'BS Actual &amp; Forecast'!U40</f>
        <v>500000</v>
      </c>
      <c r="V38" s="35">
        <f>+'BS Actual &amp; Forecast'!V40</f>
        <v>500000</v>
      </c>
    </row>
    <row r="39" spans="1:22" x14ac:dyDescent="0.15">
      <c r="A39" s="26" t="s">
        <v>96</v>
      </c>
      <c r="C39" s="35">
        <f>+'BS Actual &amp; Forecast'!C41</f>
        <v>-570000</v>
      </c>
      <c r="D39" s="35">
        <f>+'BS Actual &amp; Forecast'!D41</f>
        <v>-645000</v>
      </c>
      <c r="E39" s="35">
        <f>+'BS Actual &amp; Forecast'!E41</f>
        <v>-720000</v>
      </c>
      <c r="F39" s="35">
        <f>+'BS Actual &amp; Forecast'!F41</f>
        <v>-795000</v>
      </c>
      <c r="G39" s="35">
        <f>+'BS Actual &amp; Forecast'!G41</f>
        <v>-870000</v>
      </c>
      <c r="H39" s="35">
        <f>+'BS Actual &amp; Forecast'!H41</f>
        <v>-945000</v>
      </c>
      <c r="I39" s="35">
        <f>+'BS Actual &amp; Forecast'!I41</f>
        <v>-1020000</v>
      </c>
      <c r="J39" s="35">
        <f>+'BS Actual &amp; Forecast'!J41</f>
        <v>-1095000</v>
      </c>
      <c r="K39" s="35">
        <f>+'BS Actual &amp; Forecast'!K41</f>
        <v>-1170000</v>
      </c>
      <c r="L39" s="35">
        <f>+'BS Actual &amp; Forecast'!L41</f>
        <v>-1245000</v>
      </c>
      <c r="M39" s="35">
        <f>+'BS Actual &amp; Forecast'!M41</f>
        <v>-1320000</v>
      </c>
      <c r="N39" s="35">
        <f>+'BS Actual &amp; Forecast'!N41</f>
        <v>-1720000</v>
      </c>
      <c r="Q39" s="35">
        <f>+'BS Actual &amp; Forecast'!Q41</f>
        <v>-1820000</v>
      </c>
      <c r="R39" s="35">
        <f>+'BS Actual &amp; Forecast'!R41</f>
        <v>-1920000</v>
      </c>
      <c r="S39" s="35">
        <f>+'BS Actual &amp; Forecast'!S41</f>
        <v>-2020000</v>
      </c>
      <c r="T39" s="35">
        <f>+'BS Actual &amp; Forecast'!T41</f>
        <v>-2120000</v>
      </c>
      <c r="U39" s="35">
        <f>+'BS Actual &amp; Forecast'!U41</f>
        <v>-2220000</v>
      </c>
      <c r="V39" s="35">
        <f>+'BS Actual &amp; Forecast'!V41</f>
        <v>-2320000</v>
      </c>
    </row>
    <row r="40" spans="1:22" x14ac:dyDescent="0.15">
      <c r="A40" s="26" t="s">
        <v>75</v>
      </c>
      <c r="C40" s="24">
        <f>+'BS Actual &amp; Forecast'!C42</f>
        <v>850011</v>
      </c>
      <c r="D40" s="24">
        <f>+'BS Actual &amp; Forecast'!D42</f>
        <v>1024860.9942000002</v>
      </c>
      <c r="E40" s="24">
        <f>+'BS Actual &amp; Forecast'!E42</f>
        <v>1154733.4679108574</v>
      </c>
      <c r="F40" s="24">
        <f>+'BS Actual &amp; Forecast'!F42</f>
        <v>1220618.079079916</v>
      </c>
      <c r="G40" s="24">
        <f>+'BS Actual &amp; Forecast'!G42</f>
        <v>1328304.1301500474</v>
      </c>
      <c r="H40" s="24">
        <f>+'BS Actual &amp; Forecast'!H42</f>
        <v>1496019.6317961139</v>
      </c>
      <c r="I40" s="24">
        <f>+'BS Actual &amp; Forecast'!I42</f>
        <v>1670811.7748600477</v>
      </c>
      <c r="J40" s="24">
        <f>+'BS Actual &amp; Forecast'!J42</f>
        <v>1853582.8725987305</v>
      </c>
      <c r="K40" s="24">
        <f>+'BS Actual &amp; Forecast'!K42</f>
        <v>1998636.6120995765</v>
      </c>
      <c r="L40" s="24">
        <f>+'BS Actual &amp; Forecast'!L42</f>
        <v>2059140.2479784004</v>
      </c>
      <c r="M40" s="24">
        <f>+'BS Actual &amp; Forecast'!M42</f>
        <v>2170078.6869677748</v>
      </c>
      <c r="N40" s="24">
        <f>+'BS Actual &amp; Forecast'!N42</f>
        <v>2234754.5753100244</v>
      </c>
      <c r="Q40" s="24">
        <f>+'BS Actual &amp; Forecast'!Q42</f>
        <v>2360546.6017852351</v>
      </c>
      <c r="R40" s="24">
        <f>+'BS Actual &amp; Forecast'!R42</f>
        <v>2597813.2043952351</v>
      </c>
      <c r="S40" s="24">
        <f>+'BS Actual &amp; Forecast'!S42</f>
        <v>2758953.6925276327</v>
      </c>
      <c r="T40" s="24">
        <f>+'BS Actual &amp; Forecast'!T42</f>
        <v>2826751.4100061315</v>
      </c>
      <c r="U40" s="24">
        <f>+'BS Actual &amp; Forecast'!U42</f>
        <v>2903873.8751706588</v>
      </c>
      <c r="V40" s="24">
        <f>+'BS Actual &amp; Forecast'!V42</f>
        <v>2945039.1925362856</v>
      </c>
    </row>
    <row r="41" spans="1:22" x14ac:dyDescent="0.15">
      <c r="A41" s="26" t="s">
        <v>76</v>
      </c>
      <c r="C41" s="23">
        <f>SUM(C38:C40)</f>
        <v>780011</v>
      </c>
      <c r="D41" s="23">
        <f t="shared" ref="D41:N41" si="28">SUM(D38:D40)</f>
        <v>879860.99420000019</v>
      </c>
      <c r="E41" s="23">
        <f t="shared" si="28"/>
        <v>934733.46791085741</v>
      </c>
      <c r="F41" s="23">
        <f t="shared" si="28"/>
        <v>925618.079079916</v>
      </c>
      <c r="G41" s="23">
        <f t="shared" si="28"/>
        <v>958304.13015004736</v>
      </c>
      <c r="H41" s="23">
        <f t="shared" si="28"/>
        <v>1051019.6317961139</v>
      </c>
      <c r="I41" s="23">
        <f t="shared" si="28"/>
        <v>1150811.7748600477</v>
      </c>
      <c r="J41" s="23">
        <f t="shared" si="28"/>
        <v>1258582.8725987305</v>
      </c>
      <c r="K41" s="23">
        <f t="shared" si="28"/>
        <v>1328636.6120995765</v>
      </c>
      <c r="L41" s="23">
        <f t="shared" si="28"/>
        <v>1314140.2479784004</v>
      </c>
      <c r="M41" s="23">
        <f t="shared" si="28"/>
        <v>1350078.6869677748</v>
      </c>
      <c r="N41" s="23">
        <f t="shared" si="28"/>
        <v>1014754.5753100244</v>
      </c>
      <c r="Q41" s="23">
        <f>SUM(Q38:Q40)</f>
        <v>1040546.6017852351</v>
      </c>
      <c r="R41" s="23">
        <f t="shared" ref="R41" si="29">SUM(R38:R40)</f>
        <v>1177813.2043952351</v>
      </c>
      <c r="S41" s="23">
        <f t="shared" ref="S41" si="30">SUM(S38:S40)</f>
        <v>1238953.6925276327</v>
      </c>
      <c r="T41" s="23">
        <f t="shared" ref="T41" si="31">SUM(T38:T40)</f>
        <v>1206751.4100061315</v>
      </c>
      <c r="U41" s="23">
        <f t="shared" ref="U41" si="32">SUM(U38:U40)</f>
        <v>1183873.8751706588</v>
      </c>
      <c r="V41" s="23">
        <f t="shared" ref="V41" si="33">SUM(V38:V40)</f>
        <v>1125039.1925362856</v>
      </c>
    </row>
    <row r="42" spans="1:22" x14ac:dyDescent="0.15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Q42" s="23"/>
      <c r="R42" s="23"/>
      <c r="S42" s="23"/>
      <c r="T42" s="23"/>
      <c r="U42" s="23"/>
      <c r="V42" s="23"/>
    </row>
    <row r="43" spans="1:22" ht="14" thickBot="1" x14ac:dyDescent="0.2">
      <c r="A43" t="s">
        <v>77</v>
      </c>
      <c r="C43" s="32">
        <f>C32+C35+C41</f>
        <v>4111895</v>
      </c>
      <c r="D43" s="32">
        <f t="shared" ref="D43:N43" si="34">D32+D35+D41</f>
        <v>4326222.5598542057</v>
      </c>
      <c r="E43" s="32">
        <f t="shared" si="34"/>
        <v>4431073.8811795488</v>
      </c>
      <c r="F43" s="32">
        <f t="shared" si="34"/>
        <v>4036166.421977072</v>
      </c>
      <c r="G43" s="32">
        <f t="shared" si="34"/>
        <v>4250130.0515086418</v>
      </c>
      <c r="H43" s="32">
        <f t="shared" si="34"/>
        <v>4487211.5613856418</v>
      </c>
      <c r="I43" s="32">
        <f t="shared" si="34"/>
        <v>4461996.8904346116</v>
      </c>
      <c r="J43" s="32">
        <f t="shared" si="34"/>
        <v>4948602.648136518</v>
      </c>
      <c r="K43" s="32">
        <f t="shared" si="34"/>
        <v>4697316.9863180947</v>
      </c>
      <c r="L43" s="32">
        <f t="shared" si="34"/>
        <v>4494757.9023885773</v>
      </c>
      <c r="M43" s="32">
        <f t="shared" si="34"/>
        <v>4386804.6598144546</v>
      </c>
      <c r="N43" s="32">
        <f t="shared" si="34"/>
        <v>3763250.949135405</v>
      </c>
      <c r="Q43" s="32">
        <f>Q32+Q35+Q41</f>
        <v>3849479.9756106157</v>
      </c>
      <c r="R43" s="32">
        <f t="shared" ref="R43:V43" si="35">R32+R35+R41</f>
        <v>4240744.5782206152</v>
      </c>
      <c r="S43" s="32">
        <f t="shared" si="35"/>
        <v>4454218.0663530137</v>
      </c>
      <c r="T43" s="32">
        <f t="shared" si="35"/>
        <v>4251349.9851531517</v>
      </c>
      <c r="U43" s="32">
        <f t="shared" si="35"/>
        <v>4088187.2716638348</v>
      </c>
      <c r="V43" s="32">
        <f t="shared" si="35"/>
        <v>3761819.6127594421</v>
      </c>
    </row>
    <row r="44" spans="1:22" ht="14" thickTop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Q44" s="23"/>
      <c r="R44" s="23"/>
      <c r="S44" s="23"/>
      <c r="T44" s="23"/>
      <c r="U44" s="23"/>
      <c r="V44" s="23"/>
    </row>
    <row r="45" spans="1:22" x14ac:dyDescent="0.15">
      <c r="C45" s="23">
        <f>C24-C43</f>
        <v>470186.52500000037</v>
      </c>
      <c r="D45" s="23">
        <f t="shared" ref="D45:N45" si="36">D24-D43</f>
        <v>444615.11950000003</v>
      </c>
      <c r="E45" s="23">
        <f t="shared" si="36"/>
        <v>397670.64179500099</v>
      </c>
      <c r="F45" s="23">
        <f t="shared" si="36"/>
        <v>423435.24936199933</v>
      </c>
      <c r="G45" s="23">
        <f t="shared" si="36"/>
        <v>411337.0858087996</v>
      </c>
      <c r="H45" s="23">
        <f t="shared" si="36"/>
        <v>386293.88725367561</v>
      </c>
      <c r="I45" s="23">
        <f t="shared" si="36"/>
        <v>466044.98139636964</v>
      </c>
      <c r="J45" s="23">
        <f t="shared" si="36"/>
        <v>543559.30657053087</v>
      </c>
      <c r="K45" s="23">
        <f t="shared" si="36"/>
        <v>506569.00455196481</v>
      </c>
      <c r="L45" s="23">
        <f t="shared" si="36"/>
        <v>420062.52419770602</v>
      </c>
      <c r="M45" s="23">
        <f t="shared" si="36"/>
        <v>483071.97407736257</v>
      </c>
      <c r="N45" s="23">
        <f t="shared" si="36"/>
        <v>475930.90309100132</v>
      </c>
      <c r="Q45" s="23">
        <f>Q24-Q43</f>
        <v>534773.32801862154</v>
      </c>
      <c r="R45" s="23">
        <f t="shared" ref="R45:V45" si="37">R24-R43</f>
        <v>498378.99975763261</v>
      </c>
      <c r="S45" s="23">
        <f t="shared" si="37"/>
        <v>504915.12401674874</v>
      </c>
      <c r="T45" s="23">
        <f t="shared" si="37"/>
        <v>518716.15038987342</v>
      </c>
      <c r="U45" s="23">
        <f t="shared" si="37"/>
        <v>508341.81788207637</v>
      </c>
      <c r="V45" s="23">
        <f t="shared" si="37"/>
        <v>497340.38020030037</v>
      </c>
    </row>
    <row r="46" spans="1:22" x14ac:dyDescent="0.15">
      <c r="A46" t="s">
        <v>51</v>
      </c>
    </row>
    <row r="47" spans="1:22" x14ac:dyDescent="0.15">
      <c r="A47" t="s">
        <v>51</v>
      </c>
    </row>
    <row r="48" spans="1:22" x14ac:dyDescent="0.15">
      <c r="A48" t="s">
        <v>92</v>
      </c>
    </row>
    <row r="49" spans="1:1" x14ac:dyDescent="0.15">
      <c r="A49" t="s">
        <v>51</v>
      </c>
    </row>
    <row r="50" spans="1:1" x14ac:dyDescent="0.15">
      <c r="A50" t="s">
        <v>51</v>
      </c>
    </row>
  </sheetData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P51"/>
  <sheetViews>
    <sheetView workbookViewId="0">
      <pane xSplit="2" ySplit="7" topLeftCell="C8" activePane="bottomRight" state="frozen"/>
      <selection activeCell="AT21" sqref="AT21"/>
      <selection pane="topRight" activeCell="AT21" sqref="AT21"/>
      <selection pane="bottomLeft" activeCell="AT21" sqref="AT21"/>
      <selection pane="bottomRight" activeCell="A2" sqref="A2"/>
    </sheetView>
  </sheetViews>
  <sheetFormatPr baseColWidth="10" defaultColWidth="8.83203125" defaultRowHeight="13" outlineLevelCol="1" x14ac:dyDescent="0.15"/>
  <cols>
    <col min="1" max="1" width="59.83203125" customWidth="1"/>
    <col min="2" max="2" width="5.1640625" customWidth="1"/>
    <col min="3" max="3" width="11.33203125" hidden="1" customWidth="1" outlineLevel="1"/>
    <col min="4" max="4" width="12.33203125" hidden="1" customWidth="1" outlineLevel="1"/>
    <col min="5" max="7" width="11.33203125" hidden="1" customWidth="1" outlineLevel="1"/>
    <col min="8" max="8" width="11.1640625" hidden="1" customWidth="1" outlineLevel="1"/>
    <col min="9" max="13" width="11.33203125" hidden="1" customWidth="1" outlineLevel="1"/>
    <col min="14" max="14" width="11.33203125" bestFit="1" customWidth="1" collapsed="1"/>
    <col min="15" max="15" width="1.83203125" customWidth="1"/>
    <col min="16" max="16" width="2" hidden="1" customWidth="1"/>
    <col min="17" max="21" width="11.33203125" hidden="1" customWidth="1" outlineLevel="1"/>
    <col min="22" max="22" width="12.1640625" customWidth="1" outlineLevel="1"/>
    <col min="23" max="24" width="11.33203125" hidden="1" customWidth="1" outlineLevel="1"/>
    <col min="25" max="27" width="12.33203125" hidden="1" customWidth="1" outlineLevel="1"/>
    <col min="28" max="28" width="12.33203125" hidden="1" customWidth="1"/>
    <col min="29" max="29" width="2.5" hidden="1" customWidth="1"/>
    <col min="30" max="30" width="2.33203125" hidden="1" customWidth="1"/>
    <col min="31" max="35" width="11.33203125" hidden="1" customWidth="1" outlineLevel="1"/>
    <col min="36" max="36" width="11.6640625" hidden="1" customWidth="1" outlineLevel="1"/>
    <col min="37" max="41" width="12.33203125" hidden="1" customWidth="1" outlineLevel="1"/>
    <col min="42" max="42" width="12.33203125" hidden="1" customWidth="1"/>
  </cols>
  <sheetData>
    <row r="1" spans="1:42" x14ac:dyDescent="0.15">
      <c r="A1" s="1" t="str">
        <f>+'IS Actual &amp; Forecast'!A1</f>
        <v>ABC Construction Company</v>
      </c>
    </row>
    <row r="2" spans="1:42" ht="20" x14ac:dyDescent="0.2">
      <c r="A2" s="2" t="s">
        <v>55</v>
      </c>
      <c r="H2" s="38" t="s">
        <v>82</v>
      </c>
      <c r="V2" s="38"/>
      <c r="AJ2" s="38" t="s">
        <v>90</v>
      </c>
    </row>
    <row r="3" spans="1:42" x14ac:dyDescent="0.15">
      <c r="A3" s="22"/>
      <c r="AB3" t="s">
        <v>212</v>
      </c>
    </row>
    <row r="4" spans="1:42" x14ac:dyDescent="0.15">
      <c r="A4" s="22"/>
      <c r="AB4">
        <v>731685</v>
      </c>
    </row>
    <row r="5" spans="1:42" x14ac:dyDescent="0.15">
      <c r="D5" s="25"/>
      <c r="F5" s="25"/>
      <c r="N5" s="47" t="s">
        <v>54</v>
      </c>
      <c r="V5" s="47" t="s">
        <v>54</v>
      </c>
    </row>
    <row r="6" spans="1:42" x14ac:dyDescent="0.15"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12</v>
      </c>
      <c r="O6" s="36"/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6</v>
      </c>
      <c r="W6" s="47" t="s">
        <v>99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/>
      <c r="AD6" s="36"/>
      <c r="AE6" s="47" t="s">
        <v>99</v>
      </c>
      <c r="AF6" s="47" t="s">
        <v>99</v>
      </c>
      <c r="AG6" s="47" t="s">
        <v>99</v>
      </c>
      <c r="AH6" s="47" t="s">
        <v>99</v>
      </c>
      <c r="AI6" s="47" t="s">
        <v>99</v>
      </c>
      <c r="AJ6" s="47" t="s">
        <v>99</v>
      </c>
      <c r="AK6" s="47" t="s">
        <v>99</v>
      </c>
      <c r="AL6" s="47" t="s">
        <v>99</v>
      </c>
      <c r="AM6" s="47" t="s">
        <v>99</v>
      </c>
      <c r="AN6" s="47" t="s">
        <v>99</v>
      </c>
      <c r="AO6" s="47" t="s">
        <v>99</v>
      </c>
      <c r="AP6" s="47" t="s">
        <v>99</v>
      </c>
    </row>
    <row r="7" spans="1:42" x14ac:dyDescent="0.15">
      <c r="A7" s="25" t="s">
        <v>57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94" t="s">
        <v>82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94" t="s">
        <v>84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41"/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</row>
    <row r="9" spans="1:42" x14ac:dyDescent="0.15">
      <c r="A9" s="16" t="s">
        <v>58</v>
      </c>
    </row>
    <row r="10" spans="1:42" x14ac:dyDescent="0.15">
      <c r="A10" t="s">
        <v>56</v>
      </c>
      <c r="C10" s="31">
        <f>+'POM Actual &amp; Forecast'!C72</f>
        <v>1143470.5249999999</v>
      </c>
      <c r="D10" s="31">
        <f>+'POM Actual &amp; Forecast'!D72</f>
        <v>1340164.5615462058</v>
      </c>
      <c r="E10" s="31">
        <f>+'POM Actual &amp; Forecast'!E72</f>
        <v>1381504.0121351893</v>
      </c>
      <c r="F10" s="31">
        <f>+'POM Actual &amp; Forecast'!F72</f>
        <v>1024988.879509558</v>
      </c>
      <c r="G10" s="31">
        <f>+'POM Actual &amp; Forecast'!G72</f>
        <v>1234820.0419533211</v>
      </c>
      <c r="H10" s="31">
        <f>+'POM Actual &amp; Forecast'!H72</f>
        <v>1445426.0000354236</v>
      </c>
      <c r="I10" s="31">
        <f>+'POM Actual &amp; Forecast'!I72</f>
        <v>1515778.7802452419</v>
      </c>
      <c r="J10" s="31">
        <f>+'POM Actual &amp; Forecast'!J72</f>
        <v>2053094.8316713092</v>
      </c>
      <c r="K10" s="31">
        <f>+'POM Actual &amp; Forecast'!K72</f>
        <v>1763674.1533960719</v>
      </c>
      <c r="L10" s="39">
        <f>+'POM Actual &amp; Forecast'!L72</f>
        <v>1470733.9138978163</v>
      </c>
      <c r="M10" s="31">
        <f>+'POM Actual &amp; Forecast'!M72</f>
        <v>1439566.2431089126</v>
      </c>
      <c r="N10" s="31">
        <f>+'POM Actual &amp; Forecast'!N72</f>
        <v>826312.63223657687</v>
      </c>
      <c r="Q10" s="31">
        <f>+'POM Actual &amp; Forecast'!Q72</f>
        <v>975031.52508366399</v>
      </c>
      <c r="R10" s="31">
        <f>+'POM Actual &amp; Forecast'!R72</f>
        <v>1323411.724154375</v>
      </c>
      <c r="S10" s="31">
        <f>+'POM Actual &amp; Forecast'!S72</f>
        <v>1523479.6571072412</v>
      </c>
      <c r="T10" s="31">
        <f>+'POM Actual &amp; Forecast'!T72</f>
        <v>1335275.4985574265</v>
      </c>
      <c r="U10" s="31">
        <f>+'POM Actual &amp; Forecast'!U72</f>
        <v>1176083.0876323741</v>
      </c>
      <c r="V10" s="31">
        <f>+'POM Actual &amp; Forecast'!V72</f>
        <v>1051408.8432631069</v>
      </c>
      <c r="W10" s="31">
        <f>+'POM Actual &amp; Forecast'!W72</f>
        <v>1254187.6961169946</v>
      </c>
      <c r="X10" s="31">
        <f>+'POM Actual &amp; Forecast'!X72</f>
        <v>1165844.3756070908</v>
      </c>
      <c r="Y10" s="31">
        <f>+'POM Actual &amp; Forecast'!Y72</f>
        <v>1133264.3356445113</v>
      </c>
      <c r="Z10" s="31">
        <f>+'POM Actual &amp; Forecast'!Z72</f>
        <v>560804.4638041337</v>
      </c>
      <c r="AA10" s="31">
        <f>+'POM Actual &amp; Forecast'!AA72</f>
        <v>813696.84187758435</v>
      </c>
      <c r="AB10" s="31">
        <f>+'POM Actual &amp; Forecast'!AB72</f>
        <v>731684.65382054681</v>
      </c>
      <c r="AC10" s="31"/>
      <c r="AE10" s="31">
        <f>+'POM Actual &amp; Forecast'!AE72</f>
        <v>376231.20845885004</v>
      </c>
      <c r="AF10" s="31">
        <f>+'POM Actual &amp; Forecast'!AF72</f>
        <v>756785.42740221124</v>
      </c>
      <c r="AG10" s="31">
        <f>+'POM Actual &amp; Forecast'!AG72</f>
        <v>1626351.0324124354</v>
      </c>
      <c r="AH10" s="31">
        <f>+'POM Actual &amp; Forecast'!AH72</f>
        <v>2327430.6976593062</v>
      </c>
      <c r="AI10" s="31">
        <f>+'POM Actual &amp; Forecast'!AI72</f>
        <v>2536303.172520258</v>
      </c>
      <c r="AJ10" s="31">
        <f>+'POM Actual &amp; Forecast'!AJ72</f>
        <v>2478824.0238812566</v>
      </c>
      <c r="AK10" s="31">
        <f>+'POM Actual &amp; Forecast'!AK72</f>
        <v>2248155.3767422223</v>
      </c>
      <c r="AL10" s="31">
        <f>+'POM Actual &amp; Forecast'!AL72</f>
        <v>1956227.8048164956</v>
      </c>
      <c r="AM10" s="31">
        <f>+'POM Actual &amp; Forecast'!AM72</f>
        <v>1710970.1990402774</v>
      </c>
      <c r="AN10" s="31">
        <f>+'POM Actual &amp; Forecast'!AN72</f>
        <v>1738996.2862710957</v>
      </c>
      <c r="AO10" s="31">
        <f>+'POM Actual &amp; Forecast'!AO72</f>
        <v>1812723.9630548502</v>
      </c>
      <c r="AP10" s="31">
        <f>+'POM Actual &amp; Forecast'!AP72</f>
        <v>1367252.4353387253</v>
      </c>
    </row>
    <row r="11" spans="1:42" x14ac:dyDescent="0.15">
      <c r="A11" t="s">
        <v>59</v>
      </c>
      <c r="C11" s="23">
        <v>2946231</v>
      </c>
      <c r="D11" s="23">
        <f>+C11-SUM('POM Actual &amp; Forecast'!D58:D59)</f>
        <v>2924855.1839999999</v>
      </c>
      <c r="E11" s="23">
        <f>+D11-SUM('POM Actual &amp; Forecast'!E58:E59)</f>
        <v>2968461.84864</v>
      </c>
      <c r="F11" s="23">
        <f>+E11-SUM('POM Actual &amp; Forecast'!F58:F59)</f>
        <v>2916630.5514671998</v>
      </c>
      <c r="G11" s="23">
        <f>+F11-SUM('POM Actual &amp; Forecast'!G58:G59)</f>
        <v>2876887.4373143036</v>
      </c>
      <c r="H11" s="23">
        <f>+G11-SUM('POM Actual &amp; Forecast'!H58:H59)</f>
        <v>2920604.8628824893</v>
      </c>
      <c r="I11" s="23">
        <f>+H11-SUM('POM Actual &amp; Forecast'!I58:I59)</f>
        <v>2858307.531447825</v>
      </c>
      <c r="J11" s="23">
        <f>+I11-SUM('POM Actual &amp; Forecast'!J58:J59)</f>
        <v>2932721.5414478253</v>
      </c>
      <c r="K11" s="23">
        <f>+J11-SUM('POM Actual &amp; Forecast'!K58:K59)</f>
        <v>2975706.7001377437</v>
      </c>
      <c r="L11" s="23">
        <f>+K11-SUM('POM Actual &amp; Forecast'!L58:L59)</f>
        <v>3013533.6397848721</v>
      </c>
      <c r="M11" s="23">
        <f>+L11-SUM('POM Actual &amp; Forecast'!M58:M59)</f>
        <v>2959630.2507877145</v>
      </c>
      <c r="N11" s="23">
        <f>+M11-SUM('POM Actual &amp; Forecast'!N58:N59)</f>
        <v>2915031.692340699</v>
      </c>
      <c r="Q11" s="23">
        <f>N11-SUM('POM Actual &amp; Forecast'!Q58:Q59)</f>
        <v>2850865.4409629945</v>
      </c>
      <c r="R11" s="23">
        <f>+Q11-SUM('POM Actual &amp; Forecast'!R58:R59)</f>
        <v>2927511.8712629946</v>
      </c>
      <c r="S11" s="23">
        <f>+R11-SUM('POM Actual &amp; Forecast'!S58:S59)</f>
        <v>2971786.5847136108</v>
      </c>
      <c r="T11" s="23">
        <f>+S11-SUM('POM Actual &amp; Forecast'!T58:T59)</f>
        <v>3010748.3325501531</v>
      </c>
      <c r="U11" s="23">
        <f>+T11-SUM('POM Actual &amp; Forecast'!U58:U59)</f>
        <v>2955227.8418830805</v>
      </c>
      <c r="V11" s="23">
        <f>+U11-SUM('POM Actual &amp; Forecast'!V58:V59)</f>
        <v>2709291.0152306166</v>
      </c>
      <c r="W11" s="23">
        <f>+'Assumptions Summary'!W22</f>
        <v>2468879.0256096502</v>
      </c>
      <c r="X11" s="23">
        <f>+'Assumptions Summary'!X22</f>
        <v>3106136.4564123373</v>
      </c>
      <c r="Y11" s="23">
        <f>+'Assumptions Summary'!Y22</f>
        <v>3744209.787765827</v>
      </c>
      <c r="Z11" s="23">
        <f>+'Assumptions Summary'!Z22</f>
        <v>4655872.6446084334</v>
      </c>
      <c r="AA11" s="23">
        <f>+'Assumptions Summary'!AA22</f>
        <v>4478281.8495454071</v>
      </c>
      <c r="AB11" s="23">
        <f>+'Assumptions Summary'!AB22</f>
        <v>4433679.6338142343</v>
      </c>
      <c r="AC11" s="23"/>
      <c r="AE11" s="23">
        <f>+'Assumptions Summary'!AE22</f>
        <v>4564093.6863484373</v>
      </c>
      <c r="AF11" s="23">
        <f>+'Assumptions Summary'!AF22</f>
        <v>6066359.158624527</v>
      </c>
      <c r="AG11" s="23">
        <f>+'Assumptions Summary'!AG22</f>
        <v>4960252.4736395711</v>
      </c>
      <c r="AH11" s="23">
        <f>+'Assumptions Summary'!AH22</f>
        <v>3352577.2310264581</v>
      </c>
      <c r="AI11" s="23">
        <f>+'Assumptions Summary'!AI22</f>
        <v>2964844.8136960687</v>
      </c>
      <c r="AJ11" s="23">
        <f>+'Assumptions Summary'!AJ22</f>
        <v>3109242.504805482</v>
      </c>
      <c r="AK11" s="23">
        <f>+'Assumptions Summary'!AK22</f>
        <v>3410548.6457965625</v>
      </c>
      <c r="AL11" s="23">
        <f>+'Assumptions Summary'!AL22</f>
        <v>4111103.2506172122</v>
      </c>
      <c r="AM11" s="23">
        <f>+'Assumptions Summary'!AM22</f>
        <v>4570713.7075128546</v>
      </c>
      <c r="AN11" s="23">
        <f>+'Assumptions Summary'!AN22</f>
        <v>4342052.7728972379</v>
      </c>
      <c r="AO11" s="23">
        <f>+'Assumptions Summary'!AO22</f>
        <v>3875787.8944886317</v>
      </c>
      <c r="AP11" s="23">
        <f>+'Assumptions Summary'!AP22</f>
        <v>3253188.4273779038</v>
      </c>
    </row>
    <row r="12" spans="1:42" x14ac:dyDescent="0.15">
      <c r="A12" t="s">
        <v>60</v>
      </c>
      <c r="C12" s="88">
        <v>163581</v>
      </c>
      <c r="D12" s="23">
        <f>+C12-SUM('POM Actual &amp; Forecast'!D60:D61)</f>
        <v>181493.93380800006</v>
      </c>
      <c r="E12" s="23">
        <f>+D12-SUM('POM Actual &amp; Forecast'!E60:E61)</f>
        <v>144384.66219936009</v>
      </c>
      <c r="F12" s="23">
        <f>+E12-SUM('POM Actual &amp; Forecast'!F60:F61)</f>
        <v>189063.24036231381</v>
      </c>
      <c r="G12" s="23">
        <f>+F12-SUM('POM Actual &amp; Forecast'!G60:G61)</f>
        <v>222725.65804981673</v>
      </c>
      <c r="H12" s="23">
        <f>+G12-SUM('POM Actual &amp; Forecast'!H60:H61)</f>
        <v>185915.58572140452</v>
      </c>
      <c r="I12" s="23">
        <f>+H12-SUM('POM Actual &amp; Forecast'!I60:I61)</f>
        <v>237871.56013791473</v>
      </c>
      <c r="J12" s="23">
        <f>+I12-SUM('POM Actual &amp; Forecast'!J60:J61)</f>
        <v>174247.58158791461</v>
      </c>
      <c r="K12" s="23">
        <f>+J12-SUM('POM Actual &amp; Forecast'!K60:K61)</f>
        <v>137882.13733624364</v>
      </c>
      <c r="L12" s="23">
        <f>+K12-SUM('POM Actual &amp; Forecast'!L60:L61)</f>
        <v>104934.87290359498</v>
      </c>
      <c r="M12" s="23">
        <f>+L12-SUM('POM Actual &amp; Forecast'!M60:M61)</f>
        <v>150537.13999519055</v>
      </c>
      <c r="N12" s="23">
        <f>+M12-SUM('POM Actual &amp; Forecast'!N60:N61)</f>
        <v>188044.52764913067</v>
      </c>
      <c r="Q12" s="23">
        <f>N12-SUM('POM Actual &amp; Forecast'!Q60:Q61)</f>
        <v>243163.33758257888</v>
      </c>
      <c r="R12" s="23">
        <f>+Q12-SUM('POM Actual &amp; Forecast'!R60:R61)</f>
        <v>178856.98256087885</v>
      </c>
      <c r="S12" s="23">
        <f>+R12-SUM('POM Actual &amp; Forecast'!S60:S61)</f>
        <v>141621.94854891067</v>
      </c>
      <c r="T12" s="23">
        <f>+S12-SUM('POM Actual &amp; Forecast'!T60:T61)</f>
        <v>107647.30443544593</v>
      </c>
      <c r="U12" s="23">
        <f>+T12-SUM('POM Actual &amp; Forecast'!U60:U61)</f>
        <v>154673.16003045649</v>
      </c>
      <c r="V12" s="23">
        <f>+U12-SUM('POM Actual &amp; Forecast'!V60:V61)</f>
        <v>193765.13446601923</v>
      </c>
      <c r="W12" s="23">
        <f>+'Assumptions Summary'!W26</f>
        <v>146486.82865644898</v>
      </c>
      <c r="X12" s="23">
        <f>+'Assumptions Summary'!X26</f>
        <v>184201.11543840606</v>
      </c>
      <c r="Y12" s="23">
        <f>+'Assumptions Summary'!Y26</f>
        <v>222040.34787913624</v>
      </c>
      <c r="Z12" s="23">
        <f>+'Assumptions Summary'!Z26</f>
        <v>238840.99586919235</v>
      </c>
      <c r="AA12" s="23">
        <f>+'Assumptions Summary'!AA26</f>
        <v>231079.34343654299</v>
      </c>
      <c r="AB12" s="23">
        <f>+'Assumptions Summary'!AB26</f>
        <v>207979.8810043768</v>
      </c>
      <c r="AC12" s="23"/>
      <c r="AE12" s="23">
        <f>+'Assumptions Summary'!AE26</f>
        <v>138938.47114979476</v>
      </c>
      <c r="AF12" s="23">
        <f>+'Assumptions Summary'!AF26</f>
        <v>313024.13258502563</v>
      </c>
      <c r="AG12" s="23">
        <f>+'Assumptions Summary'!AG26</f>
        <v>283105.22538339614</v>
      </c>
      <c r="AH12" s="23">
        <f>+'Assumptions Summary'!AH26</f>
        <v>194297.08952539699</v>
      </c>
      <c r="AI12" s="23">
        <f>+'Assumptions Summary'!AI26</f>
        <v>175822.1924401157</v>
      </c>
      <c r="AJ12" s="23">
        <f>+'Assumptions Summary'!AJ26</f>
        <v>184385.31133148784</v>
      </c>
      <c r="AK12" s="23">
        <f>+'Assumptions Summary'!AK26</f>
        <v>202253.46620421472</v>
      </c>
      <c r="AL12" s="23">
        <f>+'Assumptions Summary'!AL26</f>
        <v>243797.9834668347</v>
      </c>
      <c r="AM12" s="23">
        <f>+'Assumptions Summary'!AM26</f>
        <v>271053.95242227387</v>
      </c>
      <c r="AN12" s="23">
        <f>+'Assumptions Summary'!AN26</f>
        <v>257493.8272299525</v>
      </c>
      <c r="AO12" s="23">
        <f>+'Assumptions Summary'!AO26</f>
        <v>229843.23560339556</v>
      </c>
      <c r="AP12" s="23">
        <f>+'Assumptions Summary'!AP26</f>
        <v>192921.63929799196</v>
      </c>
    </row>
    <row r="13" spans="1:42" x14ac:dyDescent="0.15">
      <c r="A13" t="s">
        <v>117</v>
      </c>
      <c r="C13" s="23">
        <v>209134</v>
      </c>
      <c r="D13" s="23">
        <f>0.23*D33</f>
        <v>132807.2555</v>
      </c>
      <c r="E13" s="23">
        <f>0.29*E33</f>
        <v>162429.04770499998</v>
      </c>
      <c r="F13" s="23">
        <f>0.37*F33</f>
        <v>248684.47303799997</v>
      </c>
      <c r="G13" s="23">
        <f>0.32*G33</f>
        <v>193570.61685119997</v>
      </c>
      <c r="H13" s="23">
        <f>0.38*H33</f>
        <v>236761.060736124</v>
      </c>
      <c r="I13" s="23">
        <f>0.32*I33</f>
        <v>219315.50889240962</v>
      </c>
      <c r="J13" s="23">
        <f>0.23*J33</f>
        <v>162362.01267691201</v>
      </c>
      <c r="K13" s="23">
        <f>0.22*K33</f>
        <v>142878.57115568258</v>
      </c>
      <c r="L13" s="23">
        <f>0.34*L33</f>
        <v>216396.09049578835</v>
      </c>
      <c r="M13" s="23">
        <f>0.31*M33</f>
        <v>217032.54958548184</v>
      </c>
      <c r="N13" s="23">
        <f>0.34*N33</f>
        <v>245176.77053172822</v>
      </c>
      <c r="Q13" s="23">
        <f>0.28*Q33</f>
        <v>207967.59006279535</v>
      </c>
      <c r="R13" s="23">
        <f>0.39*R33</f>
        <v>318636.0576319258</v>
      </c>
      <c r="S13" s="23">
        <f>0.4*S33</f>
        <v>336610.39934449596</v>
      </c>
      <c r="T13" s="23">
        <f>0.33*T33</f>
        <v>255487.29310247244</v>
      </c>
      <c r="U13" s="23">
        <f>0.33*U33</f>
        <v>250377.54724042301</v>
      </c>
      <c r="V13" s="23">
        <f>0.31*V33</f>
        <v>223442.99291607447</v>
      </c>
      <c r="W13" s="35">
        <f>+'Assumptions Summary'!W45</f>
        <v>198428.97470946398</v>
      </c>
      <c r="X13" s="35">
        <f>+'Assumptions Summary'!X45</f>
        <v>249646.68821769857</v>
      </c>
      <c r="Y13" s="35">
        <f>+'Assumptions Summary'!Y45</f>
        <v>300929.97736089997</v>
      </c>
      <c r="Z13" s="35">
        <f>+'Assumptions Summary'!Z45</f>
        <v>321813.91719533491</v>
      </c>
      <c r="AA13" s="35">
        <f>+'Assumptions Summary'!AA45</f>
        <v>309538.84144057857</v>
      </c>
      <c r="AB13" s="35">
        <f>+'Assumptions Summary'!AB45</f>
        <v>278596.30571749079</v>
      </c>
      <c r="AC13" s="23"/>
      <c r="AE13" s="35">
        <f>+'Assumptions Summary'!AE45</f>
        <v>315470.15560040402</v>
      </c>
      <c r="AF13" s="35">
        <f>+'Assumptions Summary'!AF45</f>
        <v>419306.74504412734</v>
      </c>
      <c r="AG13" s="35">
        <f>+'Assumptions Summary'!AG45</f>
        <v>380947.38997551904</v>
      </c>
      <c r="AH13" s="35">
        <f>+'Assumptions Summary'!AH45</f>
        <v>263329.70250971452</v>
      </c>
      <c r="AI13" s="35">
        <f>+'Assumptions Summary'!AI45</f>
        <v>238290.78316589794</v>
      </c>
      <c r="AJ13" s="35">
        <f>+'Assumptions Summary'!AJ45</f>
        <v>249896.32782808712</v>
      </c>
      <c r="AK13" s="35">
        <f>+'Assumptions Summary'!AK45</f>
        <v>274112.93302030041</v>
      </c>
      <c r="AL13" s="35">
        <f>+'Assumptions Summary'!AL45</f>
        <v>330417.97288681596</v>
      </c>
      <c r="AM13" s="35">
        <f>+'Assumptions Summary'!AM45</f>
        <v>367357.82728289359</v>
      </c>
      <c r="AN13" s="35">
        <f>+'Assumptions Summary'!AN45</f>
        <v>348979.86937518272</v>
      </c>
      <c r="AO13" s="35">
        <f>+'Assumptions Summary'!AO45</f>
        <v>311505.18519424909</v>
      </c>
      <c r="AP13" s="35">
        <f>+'Assumptions Summary'!AP45</f>
        <v>261465.56290739618</v>
      </c>
    </row>
    <row r="14" spans="1:42" x14ac:dyDescent="0.15">
      <c r="A14" t="s">
        <v>61</v>
      </c>
      <c r="C14" s="24">
        <v>24876</v>
      </c>
      <c r="D14" s="24">
        <f>+C14-'POM Actual &amp; Forecast'!D63</f>
        <v>25876</v>
      </c>
      <c r="E14" s="24">
        <f>+D14-'POM Actual &amp; Forecast'!E63</f>
        <v>25876</v>
      </c>
      <c r="F14" s="24">
        <f>+E14-'POM Actual &amp; Forecast'!F63</f>
        <v>25876</v>
      </c>
      <c r="G14" s="24">
        <f>+F14-'POM Actual &amp; Forecast'!G63</f>
        <v>25876</v>
      </c>
      <c r="H14" s="24">
        <f>+G14-'POM Actual &amp; Forecast'!H63</f>
        <v>25876</v>
      </c>
      <c r="I14" s="24">
        <f>+H14-'POM Actual &amp; Forecast'!I63</f>
        <v>25876</v>
      </c>
      <c r="J14" s="24">
        <f>+I14-'POM Actual &amp; Forecast'!J63</f>
        <v>23376</v>
      </c>
      <c r="K14" s="24">
        <f>+J14-'POM Actual &amp; Forecast'!K63</f>
        <v>23376</v>
      </c>
      <c r="L14" s="24">
        <f>+K14-'POM Actual &amp; Forecast'!L63</f>
        <v>23376</v>
      </c>
      <c r="M14" s="24">
        <f>+L14-'POM Actual &amp; Forecast'!M63</f>
        <v>23376</v>
      </c>
      <c r="N14" s="24">
        <f>+M14-'POM Actual &amp; Forecast'!N63</f>
        <v>23376</v>
      </c>
      <c r="Q14" s="24">
        <f>+N14-'POM Actual &amp; Forecast'!Q63</f>
        <v>23376</v>
      </c>
      <c r="R14" s="24">
        <f>+Q14-'POM Actual &amp; Forecast'!R63</f>
        <v>23376</v>
      </c>
      <c r="S14" s="24">
        <f>+R14-'POM Actual &amp; Forecast'!S63</f>
        <v>23376</v>
      </c>
      <c r="T14" s="24">
        <f>+S14-'POM Actual &amp; Forecast'!T63</f>
        <v>23376</v>
      </c>
      <c r="U14" s="24">
        <f>+T14-'POM Actual &amp; Forecast'!U63</f>
        <v>23376</v>
      </c>
      <c r="V14" s="24">
        <f>+U14-'POM Actual &amp; Forecast'!V63</f>
        <v>23376</v>
      </c>
      <c r="W14" s="24">
        <f t="shared" ref="W14:AB14" si="0">+V14</f>
        <v>23376</v>
      </c>
      <c r="X14" s="24">
        <f t="shared" si="0"/>
        <v>23376</v>
      </c>
      <c r="Y14" s="24">
        <f t="shared" si="0"/>
        <v>23376</v>
      </c>
      <c r="Z14" s="24">
        <f t="shared" si="0"/>
        <v>23376</v>
      </c>
      <c r="AA14" s="24">
        <f t="shared" si="0"/>
        <v>23376</v>
      </c>
      <c r="AB14" s="24">
        <f t="shared" si="0"/>
        <v>23376</v>
      </c>
      <c r="AC14" s="35"/>
      <c r="AE14" s="24">
        <f>+AB14</f>
        <v>23376</v>
      </c>
      <c r="AF14" s="24">
        <f t="shared" ref="AF14:AP14" si="1">+AE14</f>
        <v>23376</v>
      </c>
      <c r="AG14" s="24">
        <f t="shared" si="1"/>
        <v>23376</v>
      </c>
      <c r="AH14" s="24">
        <f t="shared" si="1"/>
        <v>23376</v>
      </c>
      <c r="AI14" s="24">
        <f t="shared" si="1"/>
        <v>23376</v>
      </c>
      <c r="AJ14" s="24">
        <f t="shared" si="1"/>
        <v>23376</v>
      </c>
      <c r="AK14" s="24">
        <f t="shared" si="1"/>
        <v>23376</v>
      </c>
      <c r="AL14" s="24">
        <f t="shared" si="1"/>
        <v>23376</v>
      </c>
      <c r="AM14" s="24">
        <f t="shared" si="1"/>
        <v>23376</v>
      </c>
      <c r="AN14" s="24">
        <f t="shared" si="1"/>
        <v>23376</v>
      </c>
      <c r="AO14" s="24">
        <f t="shared" si="1"/>
        <v>23376</v>
      </c>
      <c r="AP14" s="24">
        <f t="shared" si="1"/>
        <v>23376</v>
      </c>
    </row>
    <row r="15" spans="1:42" x14ac:dyDescent="0.15">
      <c r="A15" t="s">
        <v>62</v>
      </c>
      <c r="C15" s="23">
        <f>SUM(C10:C14)</f>
        <v>4487292.5250000004</v>
      </c>
      <c r="D15" s="23">
        <f>SUM(D10:D14)</f>
        <v>4605196.9348542057</v>
      </c>
      <c r="E15" s="23">
        <f t="shared" ref="E15:N15" si="2">SUM(E10:E14)</f>
        <v>4682655.5706795501</v>
      </c>
      <c r="F15" s="23">
        <f t="shared" si="2"/>
        <v>4405243.1443770714</v>
      </c>
      <c r="G15" s="23">
        <f t="shared" si="2"/>
        <v>4553879.7541686418</v>
      </c>
      <c r="H15" s="23">
        <f t="shared" si="2"/>
        <v>4814583.5093754418</v>
      </c>
      <c r="I15" s="23">
        <f t="shared" si="2"/>
        <v>4857149.3807233907</v>
      </c>
      <c r="J15" s="23">
        <f t="shared" si="2"/>
        <v>5345801.9673839612</v>
      </c>
      <c r="K15" s="23">
        <f t="shared" si="2"/>
        <v>5043517.5620257417</v>
      </c>
      <c r="L15" s="23">
        <f t="shared" si="2"/>
        <v>4828974.5170820719</v>
      </c>
      <c r="M15" s="23">
        <f t="shared" si="2"/>
        <v>4790142.1834772993</v>
      </c>
      <c r="N15" s="23">
        <f t="shared" si="2"/>
        <v>4197941.6227581352</v>
      </c>
      <c r="Q15" s="23">
        <f>SUM(Q10:Q14)</f>
        <v>4300403.8936920324</v>
      </c>
      <c r="R15" s="23">
        <f>SUM(R10:R14)</f>
        <v>4771792.6356101735</v>
      </c>
      <c r="S15" s="23">
        <f t="shared" ref="S15:AB15" si="3">SUM(S10:S14)</f>
        <v>4996874.5897142589</v>
      </c>
      <c r="T15" s="23">
        <f t="shared" si="3"/>
        <v>4732534.4286454972</v>
      </c>
      <c r="U15" s="23">
        <f t="shared" si="3"/>
        <v>4559737.6367863342</v>
      </c>
      <c r="V15" s="23">
        <f t="shared" si="3"/>
        <v>4201283.985875817</v>
      </c>
      <c r="W15" s="23">
        <f t="shared" si="3"/>
        <v>4091358.5250925575</v>
      </c>
      <c r="X15" s="23">
        <f t="shared" si="3"/>
        <v>4729204.6356755327</v>
      </c>
      <c r="Y15" s="23">
        <f t="shared" si="3"/>
        <v>5423820.4486503741</v>
      </c>
      <c r="Z15" s="23">
        <f t="shared" si="3"/>
        <v>5800708.0214770949</v>
      </c>
      <c r="AA15" s="23">
        <f t="shared" si="3"/>
        <v>5855972.8763001133</v>
      </c>
      <c r="AB15" s="23">
        <f t="shared" si="3"/>
        <v>5675316.4743566476</v>
      </c>
      <c r="AC15" s="23"/>
      <c r="AE15" s="23">
        <f t="shared" ref="AE15:AP15" si="4">SUM(AE10:AE14)</f>
        <v>5418109.5215574866</v>
      </c>
      <c r="AF15" s="23">
        <f t="shared" si="4"/>
        <v>7578851.4636558909</v>
      </c>
      <c r="AG15" s="23">
        <f t="shared" si="4"/>
        <v>7274032.1214109212</v>
      </c>
      <c r="AH15" s="23">
        <f t="shared" si="4"/>
        <v>6161010.7207208751</v>
      </c>
      <c r="AI15" s="23">
        <f t="shared" si="4"/>
        <v>5938636.9618223412</v>
      </c>
      <c r="AJ15" s="23">
        <f t="shared" si="4"/>
        <v>6045724.1678463137</v>
      </c>
      <c r="AK15" s="23">
        <f t="shared" si="4"/>
        <v>6158446.4217633</v>
      </c>
      <c r="AL15" s="23">
        <f t="shared" si="4"/>
        <v>6664923.0117873577</v>
      </c>
      <c r="AM15" s="23">
        <f t="shared" si="4"/>
        <v>6943471.6862583002</v>
      </c>
      <c r="AN15" s="23">
        <f t="shared" si="4"/>
        <v>6710898.7557734679</v>
      </c>
      <c r="AO15" s="23">
        <f t="shared" si="4"/>
        <v>6253236.2783411266</v>
      </c>
      <c r="AP15" s="23">
        <f t="shared" si="4"/>
        <v>5098204.064922017</v>
      </c>
    </row>
    <row r="16" spans="1:42" x14ac:dyDescent="0.15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1:42" x14ac:dyDescent="0.15">
      <c r="A17" s="16" t="s">
        <v>63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</row>
    <row r="18" spans="1:42" x14ac:dyDescent="0.15">
      <c r="A18" t="s">
        <v>115</v>
      </c>
      <c r="C18" s="23">
        <v>202333</v>
      </c>
      <c r="D18" s="23">
        <f>+C18-'POM Actual &amp; Forecast'!D51</f>
        <v>202333</v>
      </c>
      <c r="E18" s="23">
        <f>+D18-'POM Actual &amp; Forecast'!E51</f>
        <v>217878</v>
      </c>
      <c r="F18" s="23">
        <f>+E18-'POM Actual &amp; Forecast'!F51</f>
        <v>217878</v>
      </c>
      <c r="G18" s="23">
        <f>+F18-'POM Actual &amp; Forecast'!G51</f>
        <v>221468</v>
      </c>
      <c r="H18" s="23">
        <f>+G18-'POM Actual &amp; Forecast'!H51</f>
        <v>221468</v>
      </c>
      <c r="I18" s="23">
        <f>+H18-'POM Actual &amp; Forecast'!I51</f>
        <v>221468</v>
      </c>
      <c r="J18" s="23">
        <f>+I18-'POM Actual &amp; Forecast'!J51</f>
        <v>245457</v>
      </c>
      <c r="K18" s="23">
        <f>+J18-'POM Actual &amp; Forecast'!K51</f>
        <v>245457</v>
      </c>
      <c r="L18" s="23">
        <f>+K18-'POM Actual &amp; Forecast'!L51</f>
        <v>249927</v>
      </c>
      <c r="M18" s="23">
        <f>+L18-'POM Actual &amp; Forecast'!M51</f>
        <v>249927</v>
      </c>
      <c r="N18" s="23">
        <f>+M18-'POM Actual &amp; Forecast'!N51</f>
        <v>249927</v>
      </c>
      <c r="Q18" s="23">
        <f>N18-'POM Actual &amp; Forecast'!Q51</f>
        <v>261177</v>
      </c>
      <c r="R18" s="23">
        <f>+Q18-'POM Actual &amp; Forecast'!R51</f>
        <v>261177</v>
      </c>
      <c r="S18" s="23">
        <f>+R18-'POM Actual &amp; Forecast'!S51</f>
        <v>279929</v>
      </c>
      <c r="T18" s="23">
        <f>+S18-'POM Actual &amp; Forecast'!T51</f>
        <v>279929</v>
      </c>
      <c r="U18" s="23">
        <f>+T18-'POM Actual &amp; Forecast'!U51</f>
        <v>279929</v>
      </c>
      <c r="V18" s="23">
        <f>+U18-'POM Actual &amp; Forecast'!V51</f>
        <v>279929</v>
      </c>
      <c r="W18" s="23">
        <f>+V18-'Assumptions Summary'!W28</f>
        <v>304929</v>
      </c>
      <c r="X18" s="23">
        <f>+W18-'Assumptions Summary'!X28</f>
        <v>304929</v>
      </c>
      <c r="Y18" s="23">
        <f>+X18-'Assumptions Summary'!Y28</f>
        <v>304929</v>
      </c>
      <c r="Z18" s="23">
        <f>+Y18-'Assumptions Summary'!Z28</f>
        <v>319929</v>
      </c>
      <c r="AA18" s="23">
        <f>+Z18-'Assumptions Summary'!AA28</f>
        <v>319929</v>
      </c>
      <c r="AB18" s="23">
        <f>+AA18-'Assumptions Summary'!AB28</f>
        <v>319929</v>
      </c>
      <c r="AC18" s="23"/>
      <c r="AE18" s="23">
        <f>+AB18-'Assumptions Summary'!AE28</f>
        <v>334929</v>
      </c>
      <c r="AF18" s="23">
        <f>+AE18-'Assumptions Summary'!AF28</f>
        <v>334929</v>
      </c>
      <c r="AG18" s="23">
        <f>+AF18-'Assumptions Summary'!AG28</f>
        <v>344929</v>
      </c>
      <c r="AH18" s="23">
        <f>+AG18-'Assumptions Summary'!AH28</f>
        <v>344929</v>
      </c>
      <c r="AI18" s="23">
        <f>+AH18-'Assumptions Summary'!AI28</f>
        <v>344929</v>
      </c>
      <c r="AJ18" s="23">
        <f>+AI18-'Assumptions Summary'!AJ28</f>
        <v>369929</v>
      </c>
      <c r="AK18" s="23">
        <f>+AJ18-'Assumptions Summary'!AK28</f>
        <v>369929</v>
      </c>
      <c r="AL18" s="23">
        <f>+AK18-'Assumptions Summary'!AL28</f>
        <v>369929</v>
      </c>
      <c r="AM18" s="23">
        <f>+AL18-'Assumptions Summary'!AM28</f>
        <v>419929</v>
      </c>
      <c r="AN18" s="23">
        <f>+AM18-'Assumptions Summary'!AN28</f>
        <v>419929</v>
      </c>
      <c r="AO18" s="23">
        <f>+AN18-'Assumptions Summary'!AO28</f>
        <v>419929</v>
      </c>
      <c r="AP18" s="23">
        <f>+AO18-'Assumptions Summary'!AP28</f>
        <v>419929</v>
      </c>
    </row>
    <row r="19" spans="1:42" x14ac:dyDescent="0.15">
      <c r="A19" t="s">
        <v>85</v>
      </c>
      <c r="C19" s="24">
        <v>251590</v>
      </c>
      <c r="D19" s="24">
        <f>+C19-'POM Actual &amp; Forecast'!D52</f>
        <v>251590</v>
      </c>
      <c r="E19" s="24">
        <f>+D19-'POM Actual &amp; Forecast'!E52</f>
        <v>251590</v>
      </c>
      <c r="F19" s="24">
        <f>+E19-'POM Actual &amp; Forecast'!F52</f>
        <v>251590</v>
      </c>
      <c r="G19" s="24">
        <f>+F19-'POM Actual &amp; Forecast'!G52</f>
        <v>251590</v>
      </c>
      <c r="H19" s="24">
        <f>+G19-'POM Actual &amp; Forecast'!H52</f>
        <v>251590</v>
      </c>
      <c r="I19" s="24">
        <f>+H19-'POM Actual &amp; Forecast'!I52</f>
        <v>251590</v>
      </c>
      <c r="J19" s="24">
        <f>+I19-'POM Actual &amp; Forecast'!J52</f>
        <v>251590</v>
      </c>
      <c r="K19" s="24">
        <f>+J19-'POM Actual &amp; Forecast'!K52</f>
        <v>251590</v>
      </c>
      <c r="L19" s="24">
        <f>+K19-'POM Actual &amp; Forecast'!L52</f>
        <v>251590</v>
      </c>
      <c r="M19" s="24">
        <f>+L19-'POM Actual &amp; Forecast'!M52</f>
        <v>251590</v>
      </c>
      <c r="N19" s="24">
        <f>+M19-'POM Actual &amp; Forecast'!N52</f>
        <v>251590</v>
      </c>
      <c r="Q19" s="24">
        <f>N19-'POM Actual &amp; Forecast'!Q52</f>
        <v>251590</v>
      </c>
      <c r="R19" s="24">
        <f>+Q19-'POM Actual &amp; Forecast'!R52</f>
        <v>251590</v>
      </c>
      <c r="S19" s="24">
        <f>+R19-'POM Actual &amp; Forecast'!S52</f>
        <v>251590</v>
      </c>
      <c r="T19" s="24">
        <f>+S19-'POM Actual &amp; Forecast'!T52</f>
        <v>251590</v>
      </c>
      <c r="U19" s="24">
        <f>+T19-'POM Actual &amp; Forecast'!U52</f>
        <v>251590</v>
      </c>
      <c r="V19" s="24">
        <f>+U19-'POM Actual &amp; Forecast'!V52</f>
        <v>251590</v>
      </c>
      <c r="W19" s="24">
        <f>+V19</f>
        <v>251590</v>
      </c>
      <c r="X19" s="24">
        <f>+W19-'POM Actual &amp; Forecast'!X52</f>
        <v>251590</v>
      </c>
      <c r="Y19" s="24">
        <f>+X19-'POM Actual &amp; Forecast'!Y52</f>
        <v>251590</v>
      </c>
      <c r="Z19" s="24">
        <f>+Y19-'POM Actual &amp; Forecast'!Z52</f>
        <v>251590</v>
      </c>
      <c r="AA19" s="24">
        <f>+Z19-'POM Actual &amp; Forecast'!AA52</f>
        <v>251590</v>
      </c>
      <c r="AB19" s="24">
        <f>+AA19-'POM Actual &amp; Forecast'!AB52</f>
        <v>251590</v>
      </c>
      <c r="AC19" s="35"/>
      <c r="AE19" s="24">
        <f>+AB19-'POM Actual &amp; Forecast'!AE52</f>
        <v>251590</v>
      </c>
      <c r="AF19" s="24">
        <f>+AE19-'POM Actual &amp; Forecast'!AF52</f>
        <v>251590</v>
      </c>
      <c r="AG19" s="24">
        <f>+AF19-'POM Actual &amp; Forecast'!AG52</f>
        <v>251590</v>
      </c>
      <c r="AH19" s="24">
        <f>+AG19-'POM Actual &amp; Forecast'!AH52</f>
        <v>251590</v>
      </c>
      <c r="AI19" s="24">
        <f>+AH19-'POM Actual &amp; Forecast'!AI52</f>
        <v>251590</v>
      </c>
      <c r="AJ19" s="24">
        <f>+AI19-'POM Actual &amp; Forecast'!AJ52</f>
        <v>251590</v>
      </c>
      <c r="AK19" s="24">
        <f>+AJ19-'POM Actual &amp; Forecast'!AK52</f>
        <v>251590</v>
      </c>
      <c r="AL19" s="24">
        <f>+AK19-'POM Actual &amp; Forecast'!AL52</f>
        <v>251590</v>
      </c>
      <c r="AM19" s="24">
        <f>+AL19-'POM Actual &amp; Forecast'!AM52</f>
        <v>251590</v>
      </c>
      <c r="AN19" s="24">
        <f>+AM19-'POM Actual &amp; Forecast'!AN52</f>
        <v>251590</v>
      </c>
      <c r="AO19" s="24">
        <f>+AN19-'POM Actual &amp; Forecast'!AO52</f>
        <v>251590</v>
      </c>
      <c r="AP19" s="24">
        <f>+AO19-'POM Actual &amp; Forecast'!AP52</f>
        <v>251590</v>
      </c>
    </row>
    <row r="20" spans="1:42" x14ac:dyDescent="0.15">
      <c r="A20" t="s">
        <v>65</v>
      </c>
      <c r="C20" s="23">
        <f>SUM(C18:C19)</f>
        <v>453923</v>
      </c>
      <c r="D20" s="23">
        <f>SUM(D18:D19)</f>
        <v>453923</v>
      </c>
      <c r="E20" s="23">
        <f t="shared" ref="E20:N20" si="5">SUM(E18:E19)</f>
        <v>469468</v>
      </c>
      <c r="F20" s="23">
        <f t="shared" si="5"/>
        <v>469468</v>
      </c>
      <c r="G20" s="23">
        <f t="shared" si="5"/>
        <v>473058</v>
      </c>
      <c r="H20" s="23">
        <f t="shared" si="5"/>
        <v>473058</v>
      </c>
      <c r="I20" s="23">
        <f t="shared" si="5"/>
        <v>473058</v>
      </c>
      <c r="J20" s="23">
        <f t="shared" si="5"/>
        <v>497047</v>
      </c>
      <c r="K20" s="23">
        <f t="shared" si="5"/>
        <v>497047</v>
      </c>
      <c r="L20" s="23">
        <f t="shared" si="5"/>
        <v>501517</v>
      </c>
      <c r="M20" s="23">
        <f t="shared" si="5"/>
        <v>501517</v>
      </c>
      <c r="N20" s="23">
        <f t="shared" si="5"/>
        <v>501517</v>
      </c>
      <c r="Q20" s="23">
        <f>SUM(Q18:Q19)</f>
        <v>512767</v>
      </c>
      <c r="R20" s="23">
        <f>SUM(R18:R19)</f>
        <v>512767</v>
      </c>
      <c r="S20" s="23">
        <f t="shared" ref="S20:AB20" si="6">SUM(S18:S19)</f>
        <v>531519</v>
      </c>
      <c r="T20" s="23">
        <f t="shared" si="6"/>
        <v>531519</v>
      </c>
      <c r="U20" s="23">
        <f t="shared" si="6"/>
        <v>531519</v>
      </c>
      <c r="V20" s="23">
        <f t="shared" si="6"/>
        <v>531519</v>
      </c>
      <c r="W20" s="23">
        <f t="shared" si="6"/>
        <v>556519</v>
      </c>
      <c r="X20" s="23">
        <f t="shared" si="6"/>
        <v>556519</v>
      </c>
      <c r="Y20" s="23">
        <f t="shared" si="6"/>
        <v>556519</v>
      </c>
      <c r="Z20" s="23">
        <f t="shared" si="6"/>
        <v>571519</v>
      </c>
      <c r="AA20" s="23">
        <f t="shared" si="6"/>
        <v>571519</v>
      </c>
      <c r="AB20" s="23">
        <f t="shared" si="6"/>
        <v>571519</v>
      </c>
      <c r="AC20" s="23"/>
      <c r="AE20" s="23">
        <f t="shared" ref="AE20:AP20" si="7">SUM(AE18:AE19)</f>
        <v>586519</v>
      </c>
      <c r="AF20" s="23">
        <f t="shared" si="7"/>
        <v>586519</v>
      </c>
      <c r="AG20" s="23">
        <f t="shared" si="7"/>
        <v>596519</v>
      </c>
      <c r="AH20" s="23">
        <f t="shared" si="7"/>
        <v>596519</v>
      </c>
      <c r="AI20" s="23">
        <f t="shared" si="7"/>
        <v>596519</v>
      </c>
      <c r="AJ20" s="23">
        <f t="shared" si="7"/>
        <v>621519</v>
      </c>
      <c r="AK20" s="23">
        <f t="shared" si="7"/>
        <v>621519</v>
      </c>
      <c r="AL20" s="23">
        <f t="shared" si="7"/>
        <v>621519</v>
      </c>
      <c r="AM20" s="23">
        <f t="shared" si="7"/>
        <v>671519</v>
      </c>
      <c r="AN20" s="23">
        <f t="shared" si="7"/>
        <v>671519</v>
      </c>
      <c r="AO20" s="23">
        <f t="shared" si="7"/>
        <v>671519</v>
      </c>
      <c r="AP20" s="23">
        <f t="shared" si="7"/>
        <v>671519</v>
      </c>
    </row>
    <row r="21" spans="1:42" x14ac:dyDescent="0.15">
      <c r="A21" t="s">
        <v>66</v>
      </c>
      <c r="C21" s="24">
        <v>-150000</v>
      </c>
      <c r="D21" s="24">
        <f>+C21-'IS Actual &amp; Forecast'!D33</f>
        <v>-155475</v>
      </c>
      <c r="E21" s="24">
        <f>+D21-'IS Actual &amp; Forecast'!E33</f>
        <v>-160950</v>
      </c>
      <c r="F21" s="24">
        <f>+E21-'IS Actual &amp; Forecast'!F33</f>
        <v>-166425</v>
      </c>
      <c r="G21" s="24">
        <f>+F21-'IS Actual &amp; Forecast'!G33</f>
        <v>-171900</v>
      </c>
      <c r="H21" s="24">
        <f>+G21-'IS Actual &amp; Forecast'!H33</f>
        <v>-177375</v>
      </c>
      <c r="I21" s="24">
        <f>+H21-'IS Actual &amp; Forecast'!I33</f>
        <v>-182850</v>
      </c>
      <c r="J21" s="24">
        <f>+I21-'IS Actual &amp; Forecast'!J33</f>
        <v>-188325</v>
      </c>
      <c r="K21" s="24">
        <f>+J21-'IS Actual &amp; Forecast'!K33</f>
        <v>-193800</v>
      </c>
      <c r="L21" s="24">
        <f>+K21-'IS Actual &amp; Forecast'!L33</f>
        <v>-199275</v>
      </c>
      <c r="M21" s="24">
        <f>+L21-'IS Actual &amp; Forecast'!M33</f>
        <v>-204750</v>
      </c>
      <c r="N21" s="24">
        <f>+M21-'IS Actual &amp; Forecast'!N33</f>
        <v>-215100</v>
      </c>
      <c r="Q21" s="24">
        <f>N21-'IS Actual &amp; Forecast'!Q33</f>
        <v>-220950</v>
      </c>
      <c r="R21" s="24">
        <f>+Q21-'IS Actual &amp; Forecast'!R33</f>
        <v>-226800</v>
      </c>
      <c r="S21" s="24">
        <f>+R21-'IS Actual &amp; Forecast'!S33</f>
        <v>-232650</v>
      </c>
      <c r="T21" s="24">
        <f>+S21-'IS Actual &amp; Forecast'!T33</f>
        <v>-238500</v>
      </c>
      <c r="U21" s="24">
        <f>+T21-'IS Actual &amp; Forecast'!U33</f>
        <v>-244350</v>
      </c>
      <c r="V21" s="24">
        <f>+U21-'IS Actual &amp; Forecast'!V33</f>
        <v>-250200</v>
      </c>
      <c r="W21" s="24">
        <f>+V21-'IS Actual &amp; Forecast'!W33</f>
        <v>-256050</v>
      </c>
      <c r="X21" s="24">
        <f>+W21-'IS Actual &amp; Forecast'!X33</f>
        <v>-261900</v>
      </c>
      <c r="Y21" s="24">
        <f>+X21-'IS Actual &amp; Forecast'!Y33</f>
        <v>-267750</v>
      </c>
      <c r="Z21" s="24">
        <f>+Y21-'IS Actual &amp; Forecast'!Z33</f>
        <v>-273600</v>
      </c>
      <c r="AA21" s="24">
        <f>+Z21-'IS Actual &amp; Forecast'!AA33</f>
        <v>-279450</v>
      </c>
      <c r="AB21" s="24">
        <f>+AA21-'IS Actual &amp; Forecast'!AB33</f>
        <v>-285300</v>
      </c>
      <c r="AC21" s="35"/>
      <c r="AE21" s="24">
        <f>+AB21-'IS Actual &amp; Forecast'!AE33</f>
        <v>-291300</v>
      </c>
      <c r="AF21" s="24">
        <f>+AE21-'IS Actual &amp; Forecast'!AF33</f>
        <v>-297300</v>
      </c>
      <c r="AG21" s="24">
        <f>+AF21-'IS Actual &amp; Forecast'!AG33</f>
        <v>-303300</v>
      </c>
      <c r="AH21" s="24">
        <f>+AG21-'IS Actual &amp; Forecast'!AH33</f>
        <v>-309300</v>
      </c>
      <c r="AI21" s="24">
        <f>+AH21-'IS Actual &amp; Forecast'!AI33</f>
        <v>-315300</v>
      </c>
      <c r="AJ21" s="24">
        <f>+AI21-'IS Actual &amp; Forecast'!AJ33</f>
        <v>-321300</v>
      </c>
      <c r="AK21" s="24">
        <f>+AJ21-'IS Actual &amp; Forecast'!AK33</f>
        <v>-327300</v>
      </c>
      <c r="AL21" s="24">
        <f>+AK21-'IS Actual &amp; Forecast'!AL33</f>
        <v>-333300</v>
      </c>
      <c r="AM21" s="24">
        <f>+AL21-'IS Actual &amp; Forecast'!AM33</f>
        <v>-339300</v>
      </c>
      <c r="AN21" s="24">
        <f>+AM21-'IS Actual &amp; Forecast'!AN33</f>
        <v>-345300</v>
      </c>
      <c r="AO21" s="24">
        <f>+AN21-'IS Actual &amp; Forecast'!AO33</f>
        <v>-351300</v>
      </c>
      <c r="AP21" s="24">
        <f>+AO21-'IS Actual &amp; Forecast'!AP33</f>
        <v>-357300</v>
      </c>
    </row>
    <row r="22" spans="1:42" x14ac:dyDescent="0.15">
      <c r="A22" t="s">
        <v>67</v>
      </c>
      <c r="C22" s="23">
        <f>SUM(C20:C21)</f>
        <v>303923</v>
      </c>
      <c r="D22" s="23">
        <f>SUM(D20:D21)</f>
        <v>298448</v>
      </c>
      <c r="E22" s="23">
        <f t="shared" ref="E22:N22" si="8">SUM(E20:E21)</f>
        <v>308518</v>
      </c>
      <c r="F22" s="23">
        <f t="shared" si="8"/>
        <v>303043</v>
      </c>
      <c r="G22" s="23">
        <f t="shared" si="8"/>
        <v>301158</v>
      </c>
      <c r="H22" s="23">
        <f t="shared" si="8"/>
        <v>295683</v>
      </c>
      <c r="I22" s="23">
        <f t="shared" si="8"/>
        <v>290208</v>
      </c>
      <c r="J22" s="23">
        <f t="shared" si="8"/>
        <v>308722</v>
      </c>
      <c r="K22" s="23">
        <f t="shared" si="8"/>
        <v>303247</v>
      </c>
      <c r="L22" s="23">
        <f t="shared" si="8"/>
        <v>302242</v>
      </c>
      <c r="M22" s="23">
        <f t="shared" si="8"/>
        <v>296767</v>
      </c>
      <c r="N22" s="23">
        <f t="shared" si="8"/>
        <v>286417</v>
      </c>
      <c r="Q22" s="23">
        <f>SUM(Q20:Q21)</f>
        <v>291817</v>
      </c>
      <c r="R22" s="23">
        <f>SUM(R20:R21)</f>
        <v>285967</v>
      </c>
      <c r="S22" s="23">
        <f t="shared" ref="S22:AB22" si="9">SUM(S20:S21)</f>
        <v>298869</v>
      </c>
      <c r="T22" s="23">
        <f t="shared" si="9"/>
        <v>293019</v>
      </c>
      <c r="U22" s="23">
        <f t="shared" si="9"/>
        <v>287169</v>
      </c>
      <c r="V22" s="23">
        <f t="shared" si="9"/>
        <v>281319</v>
      </c>
      <c r="W22" s="23">
        <f t="shared" si="9"/>
        <v>300469</v>
      </c>
      <c r="X22" s="23">
        <f t="shared" si="9"/>
        <v>294619</v>
      </c>
      <c r="Y22" s="23">
        <f t="shared" si="9"/>
        <v>288769</v>
      </c>
      <c r="Z22" s="23">
        <f t="shared" si="9"/>
        <v>297919</v>
      </c>
      <c r="AA22" s="23">
        <f t="shared" si="9"/>
        <v>292069</v>
      </c>
      <c r="AB22" s="23">
        <f t="shared" si="9"/>
        <v>286219</v>
      </c>
      <c r="AC22" s="23"/>
      <c r="AE22" s="23">
        <f t="shared" ref="AE22:AP22" si="10">SUM(AE20:AE21)</f>
        <v>295219</v>
      </c>
      <c r="AF22" s="23">
        <f t="shared" si="10"/>
        <v>289219</v>
      </c>
      <c r="AG22" s="23">
        <f t="shared" si="10"/>
        <v>293219</v>
      </c>
      <c r="AH22" s="23">
        <f t="shared" si="10"/>
        <v>287219</v>
      </c>
      <c r="AI22" s="23">
        <f t="shared" si="10"/>
        <v>281219</v>
      </c>
      <c r="AJ22" s="23">
        <f t="shared" si="10"/>
        <v>300219</v>
      </c>
      <c r="AK22" s="23">
        <f t="shared" si="10"/>
        <v>294219</v>
      </c>
      <c r="AL22" s="23">
        <f t="shared" si="10"/>
        <v>288219</v>
      </c>
      <c r="AM22" s="23">
        <f t="shared" si="10"/>
        <v>332219</v>
      </c>
      <c r="AN22" s="23">
        <f t="shared" si="10"/>
        <v>326219</v>
      </c>
      <c r="AO22" s="23">
        <f t="shared" si="10"/>
        <v>320219</v>
      </c>
      <c r="AP22" s="23">
        <f t="shared" si="10"/>
        <v>314219</v>
      </c>
    </row>
    <row r="23" spans="1:42" x14ac:dyDescent="0.15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</row>
    <row r="24" spans="1:42" x14ac:dyDescent="0.15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</row>
    <row r="25" spans="1:42" ht="14" thickBot="1" x14ac:dyDescent="0.2">
      <c r="A25" t="s">
        <v>68</v>
      </c>
      <c r="C25" s="32">
        <f>C15+C22</f>
        <v>4791215.5250000004</v>
      </c>
      <c r="D25" s="32">
        <f>D15+D22</f>
        <v>4903644.9348542057</v>
      </c>
      <c r="E25" s="32">
        <f t="shared" ref="E25:N25" si="11">E15+E22</f>
        <v>4991173.5706795501</v>
      </c>
      <c r="F25" s="32">
        <f t="shared" si="11"/>
        <v>4708286.1443770714</v>
      </c>
      <c r="G25" s="32">
        <f t="shared" si="11"/>
        <v>4855037.7541686418</v>
      </c>
      <c r="H25" s="32">
        <f t="shared" si="11"/>
        <v>5110266.5093754418</v>
      </c>
      <c r="I25" s="32">
        <f t="shared" si="11"/>
        <v>5147357.3807233907</v>
      </c>
      <c r="J25" s="32">
        <f t="shared" si="11"/>
        <v>5654523.9673839612</v>
      </c>
      <c r="K25" s="32">
        <f t="shared" si="11"/>
        <v>5346764.5620257417</v>
      </c>
      <c r="L25" s="32">
        <f t="shared" si="11"/>
        <v>5131216.5170820719</v>
      </c>
      <c r="M25" s="32">
        <f t="shared" si="11"/>
        <v>5086909.1834772993</v>
      </c>
      <c r="N25" s="32">
        <f t="shared" si="11"/>
        <v>4484358.6227581352</v>
      </c>
      <c r="Q25" s="32">
        <f>Q15+Q22</f>
        <v>4592220.8936920324</v>
      </c>
      <c r="R25" s="32">
        <f>R15+R22</f>
        <v>5057759.6356101735</v>
      </c>
      <c r="S25" s="32">
        <f t="shared" ref="S25:AB25" si="12">S15+S22</f>
        <v>5295743.5897142589</v>
      </c>
      <c r="T25" s="32">
        <f t="shared" si="12"/>
        <v>5025553.4286454972</v>
      </c>
      <c r="U25" s="32">
        <f t="shared" si="12"/>
        <v>4846906.6367863342</v>
      </c>
      <c r="V25" s="32">
        <f t="shared" si="12"/>
        <v>4482602.985875817</v>
      </c>
      <c r="W25" s="32">
        <f t="shared" si="12"/>
        <v>4391827.5250925571</v>
      </c>
      <c r="X25" s="32">
        <f t="shared" si="12"/>
        <v>5023823.6356755327</v>
      </c>
      <c r="Y25" s="32">
        <f t="shared" si="12"/>
        <v>5712589.4486503741</v>
      </c>
      <c r="Z25" s="32">
        <f t="shared" si="12"/>
        <v>6098627.0214770949</v>
      </c>
      <c r="AA25" s="32">
        <f t="shared" si="12"/>
        <v>6148041.8763001133</v>
      </c>
      <c r="AB25" s="32">
        <f t="shared" si="12"/>
        <v>5961535.4743566476</v>
      </c>
      <c r="AC25" s="42"/>
      <c r="AE25" s="32">
        <f t="shared" ref="AE25:AP25" si="13">AE15+AE22</f>
        <v>5713328.5215574866</v>
      </c>
      <c r="AF25" s="32">
        <f t="shared" si="13"/>
        <v>7868070.4636558909</v>
      </c>
      <c r="AG25" s="32">
        <f t="shared" si="13"/>
        <v>7567251.1214109212</v>
      </c>
      <c r="AH25" s="32">
        <f t="shared" si="13"/>
        <v>6448229.7207208751</v>
      </c>
      <c r="AI25" s="32">
        <f t="shared" si="13"/>
        <v>6219855.9618223412</v>
      </c>
      <c r="AJ25" s="32">
        <f t="shared" si="13"/>
        <v>6345943.1678463137</v>
      </c>
      <c r="AK25" s="32">
        <f t="shared" si="13"/>
        <v>6452665.4217633</v>
      </c>
      <c r="AL25" s="32">
        <f t="shared" si="13"/>
        <v>6953142.0117873577</v>
      </c>
      <c r="AM25" s="32">
        <f t="shared" si="13"/>
        <v>7275690.6862583002</v>
      </c>
      <c r="AN25" s="32">
        <f t="shared" si="13"/>
        <v>7037117.7557734679</v>
      </c>
      <c r="AO25" s="32">
        <f t="shared" si="13"/>
        <v>6573455.2783411266</v>
      </c>
      <c r="AP25" s="32">
        <f t="shared" si="13"/>
        <v>5412423.064922017</v>
      </c>
    </row>
    <row r="26" spans="1:42" ht="14" thickTop="1" x14ac:dyDescent="0.15">
      <c r="C26" s="23"/>
      <c r="D26" s="23"/>
      <c r="F26" s="23"/>
      <c r="K26" s="23"/>
      <c r="Q26" s="23"/>
      <c r="R26" s="23"/>
      <c r="T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</row>
    <row r="27" spans="1:42" x14ac:dyDescent="0.15">
      <c r="C27" s="23"/>
      <c r="D27" s="23"/>
      <c r="F27" s="23"/>
      <c r="K27" s="23"/>
      <c r="Q27" s="23"/>
      <c r="R27" s="23"/>
      <c r="T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</row>
    <row r="28" spans="1:42" x14ac:dyDescent="0.15">
      <c r="A28" s="25" t="s">
        <v>78</v>
      </c>
      <c r="C28" s="23"/>
      <c r="D28" s="23"/>
      <c r="F28" s="23"/>
      <c r="K28" s="23"/>
      <c r="Q28" s="23"/>
      <c r="R28" s="23"/>
      <c r="T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</row>
    <row r="29" spans="1:42" x14ac:dyDescent="0.15">
      <c r="C29" s="23"/>
      <c r="D29" s="23"/>
      <c r="F29" s="23"/>
      <c r="K29" s="23"/>
      <c r="Q29" s="23"/>
      <c r="R29" s="23"/>
      <c r="T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</row>
    <row r="30" spans="1:42" x14ac:dyDescent="0.15">
      <c r="A30" s="16" t="s">
        <v>69</v>
      </c>
      <c r="C30" s="23"/>
      <c r="D30" s="23"/>
      <c r="F30" s="23"/>
      <c r="K30" s="23"/>
      <c r="Q30" s="23"/>
      <c r="R30" s="23"/>
      <c r="T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</row>
    <row r="31" spans="1:42" x14ac:dyDescent="0.15">
      <c r="A31" t="s">
        <v>70</v>
      </c>
      <c r="C31" s="31">
        <v>1684389</v>
      </c>
      <c r="D31" s="31">
        <f>+C31+'POM Actual &amp; Forecast'!D65</f>
        <v>1813866.5656542056</v>
      </c>
      <c r="E31" s="31">
        <f>+D31+'POM Actual &amp; Forecast'!E65</f>
        <v>1878845.4132686919</v>
      </c>
      <c r="F31" s="31">
        <f>+E31+'POM Actual &amp; Forecast'!F65</f>
        <v>1508053.3428971558</v>
      </c>
      <c r="G31" s="31">
        <f>+F31+'POM Actual &amp; Forecast'!G65</f>
        <v>1704330.9213585944</v>
      </c>
      <c r="H31" s="31">
        <f>+G31+'POM Actual &amp; Forecast'!H65</f>
        <v>1863696.9295895279</v>
      </c>
      <c r="I31" s="31">
        <f>+H31+'POM Actual &amp; Forecast'!I65</f>
        <v>1753690.1155745639</v>
      </c>
      <c r="J31" s="31">
        <f>+I31+'POM Actual &amp; Forecast'!J65</f>
        <v>2147524.7755377875</v>
      </c>
      <c r="K31" s="31">
        <f>+J31+'POM Actual &amp; Forecast'!K65</f>
        <v>1841185.3742185177</v>
      </c>
      <c r="L31" s="31">
        <f>+K31+'POM Actual &amp; Forecast'!L65</f>
        <v>1668122.6544101767</v>
      </c>
      <c r="M31" s="31">
        <f>+L31+'POM Actual &amp; Forecast'!M65</f>
        <v>1539230.9728466806</v>
      </c>
      <c r="N31" s="31">
        <f>+M31+'POM Actual &amp; Forecast'!N65</f>
        <v>1266001.3738253806</v>
      </c>
      <c r="Q31" s="31">
        <f>N31+'POM Actual &amp; Forecast'!Q65</f>
        <v>1341438.3738253806</v>
      </c>
      <c r="R31" s="31">
        <f>+Q31+'POM Actual &amp; Forecast'!R65</f>
        <v>1610436.3738253806</v>
      </c>
      <c r="S31" s="31">
        <f>+R31+'POM Actual &amp; Forecast'!S65</f>
        <v>1777769.3738253806</v>
      </c>
      <c r="T31" s="31">
        <f>+S31+'POM Actual &amp; Forecast'!T65</f>
        <v>1622103.5751470202</v>
      </c>
      <c r="U31" s="31">
        <f>+T31+'POM Actual &amp; Forecast'!U65</f>
        <v>1496818.396493176</v>
      </c>
      <c r="V31" s="31">
        <f>+U31+'POM Actual &amp; Forecast'!V65</f>
        <v>1244285.4202231565</v>
      </c>
      <c r="W31" s="31">
        <f>+'Assumptions Summary'!W32</f>
        <v>1271998.443885745</v>
      </c>
      <c r="X31" s="31">
        <f>+'Assumptions Summary'!X32</f>
        <v>1587121.0619553179</v>
      </c>
      <c r="Y31" s="31">
        <f>+'Assumptions Summary'!Y32</f>
        <v>1902664.5332944219</v>
      </c>
      <c r="Z31" s="31">
        <f>+'Assumptions Summary'!Z32</f>
        <v>2042888.6328879057</v>
      </c>
      <c r="AA31" s="31">
        <f>+'Assumptions Summary'!AA32</f>
        <v>1978429.0826222738</v>
      </c>
      <c r="AB31" s="31">
        <f>+'Assumptions Summary'!AB32</f>
        <v>1786156.6578940668</v>
      </c>
      <c r="AC31" s="31"/>
      <c r="AE31" s="31">
        <f>+'Assumptions Summary'!AE32</f>
        <v>1184979.1691649565</v>
      </c>
      <c r="AF31" s="31">
        <f>+'Assumptions Summary'!AF32</f>
        <v>2662756.7971799006</v>
      </c>
      <c r="AG31" s="31">
        <f>+'Assumptions Summary'!AG32</f>
        <v>2414810.4308975721</v>
      </c>
      <c r="AH31" s="31">
        <f>+'Assumptions Summary'!AH32</f>
        <v>1673465.6871157589</v>
      </c>
      <c r="AI31" s="31">
        <f>+'Assumptions Summary'!AI32</f>
        <v>1518161.1755055587</v>
      </c>
      <c r="AJ31" s="31">
        <f>+'Assumptions Summary'!AJ32</f>
        <v>1590799.6668291313</v>
      </c>
      <c r="AK31" s="31">
        <f>+'Assumptions Summary'!AK32</f>
        <v>1739772.5946474867</v>
      </c>
      <c r="AL31" s="31">
        <f>+'Assumptions Summary'!AL32</f>
        <v>2086282.8985246138</v>
      </c>
      <c r="AM31" s="31">
        <f>+'Assumptions Summary'!AM32</f>
        <v>2313639.0035162843</v>
      </c>
      <c r="AN31" s="31">
        <f>+'Assumptions Summary'!AN32</f>
        <v>2200863.2209135792</v>
      </c>
      <c r="AO31" s="31">
        <f>+'Assumptions Summary'!AO32</f>
        <v>1970669.1372989113</v>
      </c>
      <c r="AP31" s="31">
        <f>+'Assumptions Summary'!AP32</f>
        <v>1663218.9564932541</v>
      </c>
    </row>
    <row r="32" spans="1:42" x14ac:dyDescent="0.15">
      <c r="A32" t="s">
        <v>116</v>
      </c>
      <c r="C32" s="35">
        <v>478250</v>
      </c>
      <c r="D32" s="35">
        <f>+C32+'POM Actual &amp; Forecast'!D43</f>
        <v>468250</v>
      </c>
      <c r="E32" s="35">
        <f>+D32+'POM Actual &amp; Forecast'!E43</f>
        <v>458250</v>
      </c>
      <c r="F32" s="35">
        <f>+E32+'POM Actual &amp; Forecast'!F43</f>
        <v>448250</v>
      </c>
      <c r="G32" s="35">
        <f>+F32+'POM Actual &amp; Forecast'!G43</f>
        <v>438250</v>
      </c>
      <c r="H32" s="35">
        <f>+G32+'POM Actual &amp; Forecast'!H43</f>
        <v>428250</v>
      </c>
      <c r="I32" s="35">
        <f>+H32+'POM Actual &amp; Forecast'!I43</f>
        <v>418250</v>
      </c>
      <c r="J32" s="35">
        <f>+I32+'POM Actual &amp; Forecast'!J43</f>
        <v>408250</v>
      </c>
      <c r="K32" s="35">
        <f>+J32+'POM Actual &amp; Forecast'!K43</f>
        <v>398250</v>
      </c>
      <c r="L32" s="35">
        <f>+K32+'POM Actual &amp; Forecast'!L43</f>
        <v>388250</v>
      </c>
      <c r="M32" s="35">
        <f>+L32+'POM Actual &amp; Forecast'!M43</f>
        <v>378250</v>
      </c>
      <c r="N32" s="35">
        <f>+M32+'POM Actual &amp; Forecast'!N43</f>
        <v>368250</v>
      </c>
      <c r="Q32" s="35">
        <f>+N32+'POM Actual &amp; Forecast'!Q43</f>
        <v>358250</v>
      </c>
      <c r="R32" s="35">
        <f>+Q32+'POM Actual &amp; Forecast'!R43</f>
        <v>348250</v>
      </c>
      <c r="S32" s="35">
        <f>+R32+'POM Actual &amp; Forecast'!S43</f>
        <v>338250</v>
      </c>
      <c r="T32" s="35">
        <f>+S32+'POM Actual &amp; Forecast'!T43</f>
        <v>328250</v>
      </c>
      <c r="U32" s="35">
        <f>+T32+'POM Actual &amp; Forecast'!U43</f>
        <v>318250</v>
      </c>
      <c r="V32" s="35">
        <f>+U32+'POM Actual &amp; Forecast'!V43</f>
        <v>308250</v>
      </c>
      <c r="W32" s="35">
        <f>+V32+'Assumptions Summary'!W34</f>
        <v>298250</v>
      </c>
      <c r="X32" s="35">
        <f>+W32+'Assumptions Summary'!X34</f>
        <v>288250</v>
      </c>
      <c r="Y32" s="35">
        <f>+X32+'Assumptions Summary'!Y34</f>
        <v>278250</v>
      </c>
      <c r="Z32" s="35">
        <f>+Y32+'Assumptions Summary'!Z34</f>
        <v>268250</v>
      </c>
      <c r="AA32" s="35">
        <f>+Z32+'Assumptions Summary'!AA34</f>
        <v>258250</v>
      </c>
      <c r="AB32" s="35">
        <f>+AA32+'Assumptions Summary'!AB34</f>
        <v>248250</v>
      </c>
      <c r="AC32" s="35"/>
      <c r="AE32" s="35">
        <f>+AB32+'Assumptions Summary'!AE34</f>
        <v>238250</v>
      </c>
      <c r="AF32" s="35">
        <f>+AE32+'Assumptions Summary'!AF34</f>
        <v>228250</v>
      </c>
      <c r="AG32" s="35">
        <f>+AF32+'Assumptions Summary'!AG34</f>
        <v>218250</v>
      </c>
      <c r="AH32" s="35">
        <f>+AG32+'Assumptions Summary'!AH34</f>
        <v>208250</v>
      </c>
      <c r="AI32" s="35">
        <f>+AH32+'Assumptions Summary'!AI34</f>
        <v>198250</v>
      </c>
      <c r="AJ32" s="35">
        <f>+AI32+'Assumptions Summary'!AJ34</f>
        <v>188250</v>
      </c>
      <c r="AK32" s="35">
        <f>+AJ32+'Assumptions Summary'!AK34</f>
        <v>156875</v>
      </c>
      <c r="AL32" s="35">
        <f>+AK32+'Assumptions Summary'!AL34</f>
        <v>125500</v>
      </c>
      <c r="AM32" s="35">
        <f>+AL32+'Assumptions Summary'!AM34</f>
        <v>94125</v>
      </c>
      <c r="AN32" s="35">
        <f>+AM32+'Assumptions Summary'!AN34</f>
        <v>62750</v>
      </c>
      <c r="AO32" s="35">
        <f>+AN32+'Assumptions Summary'!AO34</f>
        <v>31375</v>
      </c>
      <c r="AP32" s="35">
        <f>+AO32+'Assumptions Summary'!AP34</f>
        <v>0</v>
      </c>
    </row>
    <row r="33" spans="1:42" x14ac:dyDescent="0.15">
      <c r="A33" t="s">
        <v>118</v>
      </c>
      <c r="C33" s="24">
        <v>679321</v>
      </c>
      <c r="D33" s="24">
        <f>+C33*0.85</f>
        <v>577422.85</v>
      </c>
      <c r="E33" s="24">
        <f>+D33*0.97</f>
        <v>560100.16449999996</v>
      </c>
      <c r="F33" s="24">
        <f>+E33*1.2</f>
        <v>672120.19739999995</v>
      </c>
      <c r="G33" s="24">
        <f>+F33*0.9</f>
        <v>604908.17765999993</v>
      </c>
      <c r="H33" s="24">
        <f>+G33*1.03</f>
        <v>623055.42298979999</v>
      </c>
      <c r="I33" s="24">
        <f>+H33*1.1</f>
        <v>685360.96528878005</v>
      </c>
      <c r="J33" s="24">
        <f>+I33*1.03</f>
        <v>705921.79424744344</v>
      </c>
      <c r="K33" s="24">
        <f>+J33*0.92</f>
        <v>649448.05070764804</v>
      </c>
      <c r="L33" s="24">
        <f>+K33*0.98</f>
        <v>636459.08969349507</v>
      </c>
      <c r="M33" s="24">
        <f>+L33*1.1</f>
        <v>700104.99866284465</v>
      </c>
      <c r="N33" s="24">
        <f>+M33*1.03</f>
        <v>721108.14862273005</v>
      </c>
      <c r="Q33" s="24">
        <f>N33*1.03</f>
        <v>742741.39308141195</v>
      </c>
      <c r="R33" s="24">
        <f>+Q33*1.1</f>
        <v>817015.53238955326</v>
      </c>
      <c r="S33" s="24">
        <f>+R33*1.03</f>
        <v>841525.99836123991</v>
      </c>
      <c r="T33" s="24">
        <f>+S33*0.92</f>
        <v>774203.91849234072</v>
      </c>
      <c r="U33" s="24">
        <f>+T33*0.98</f>
        <v>758719.84012249392</v>
      </c>
      <c r="V33" s="24">
        <f>+U33*0.95</f>
        <v>720783.84811636922</v>
      </c>
      <c r="W33" s="24">
        <f>+'Assumptions Summary'!W42</f>
        <v>620090.54596707493</v>
      </c>
      <c r="X33" s="24">
        <f>+'Assumptions Summary'!X42</f>
        <v>780145.900680308</v>
      </c>
      <c r="Y33" s="24">
        <f>+'Assumptions Summary'!Y42</f>
        <v>940406.17925281229</v>
      </c>
      <c r="Z33" s="24">
        <f>+'Assumptions Summary'!Z42</f>
        <v>1005668.4912354216</v>
      </c>
      <c r="AA33" s="24">
        <f>+'Assumptions Summary'!AA42</f>
        <v>967308.87950180797</v>
      </c>
      <c r="AB33" s="24">
        <f>+'Assumptions Summary'!AB42</f>
        <v>870613.45536715875</v>
      </c>
      <c r="AC33" s="35"/>
      <c r="AE33" s="24">
        <f>+'Assumptions Summary'!AE42</f>
        <v>985844.23625126248</v>
      </c>
      <c r="AF33" s="24">
        <f>+'Assumptions Summary'!AF42</f>
        <v>1310333.5782628979</v>
      </c>
      <c r="AG33" s="24">
        <f>+'Assumptions Summary'!AG42</f>
        <v>1190460.593673497</v>
      </c>
      <c r="AH33" s="24">
        <f>+'Assumptions Summary'!AH42</f>
        <v>822905.32034285786</v>
      </c>
      <c r="AI33" s="24">
        <f>+'Assumptions Summary'!AI42</f>
        <v>744658.6973934311</v>
      </c>
      <c r="AJ33" s="24">
        <f>+'Assumptions Summary'!AJ42</f>
        <v>780926.02446277218</v>
      </c>
      <c r="AK33" s="24">
        <f>+'Assumptions Summary'!AK42</f>
        <v>856602.91568843881</v>
      </c>
      <c r="AL33" s="24">
        <f>+'Assumptions Summary'!AL42</f>
        <v>1032556.1652712998</v>
      </c>
      <c r="AM33" s="24">
        <f>+'Assumptions Summary'!AM42</f>
        <v>1147993.2102590424</v>
      </c>
      <c r="AN33" s="24">
        <f>+'Assumptions Summary'!AN42</f>
        <v>1090562.0917974459</v>
      </c>
      <c r="AO33" s="24">
        <f>+'Assumptions Summary'!AO42</f>
        <v>973453.70373202837</v>
      </c>
      <c r="AP33" s="24">
        <f>+'Assumptions Summary'!AP42</f>
        <v>817079.88408561307</v>
      </c>
    </row>
    <row r="34" spans="1:42" x14ac:dyDescent="0.15">
      <c r="A34" t="s">
        <v>71</v>
      </c>
      <c r="C34" s="23">
        <f>SUM(C31:C33)</f>
        <v>2841960</v>
      </c>
      <c r="D34" s="23">
        <f t="shared" ref="D34:N34" si="14">SUM(D31:D33)</f>
        <v>2859539.4156542057</v>
      </c>
      <c r="E34" s="23">
        <f t="shared" si="14"/>
        <v>2897195.5777686918</v>
      </c>
      <c r="F34" s="23">
        <f t="shared" si="14"/>
        <v>2628423.5402971557</v>
      </c>
      <c r="G34" s="23">
        <f t="shared" si="14"/>
        <v>2747489.0990185947</v>
      </c>
      <c r="H34" s="23">
        <f t="shared" si="14"/>
        <v>2915002.3525793278</v>
      </c>
      <c r="I34" s="23">
        <f t="shared" si="14"/>
        <v>2857301.080863344</v>
      </c>
      <c r="J34" s="23">
        <f t="shared" si="14"/>
        <v>3261696.5697852308</v>
      </c>
      <c r="K34" s="23">
        <f t="shared" si="14"/>
        <v>2888883.424926166</v>
      </c>
      <c r="L34" s="23">
        <f t="shared" si="14"/>
        <v>2692831.744103672</v>
      </c>
      <c r="M34" s="23">
        <f t="shared" si="14"/>
        <v>2617585.9715095251</v>
      </c>
      <c r="N34" s="23">
        <f t="shared" si="14"/>
        <v>2355359.5224481104</v>
      </c>
      <c r="Q34" s="23">
        <f>SUM(Q31:Q33)</f>
        <v>2442429.7669067923</v>
      </c>
      <c r="R34" s="23">
        <f t="shared" ref="R34:AB34" si="15">SUM(R31:R33)</f>
        <v>2775701.9062149338</v>
      </c>
      <c r="S34" s="23">
        <f t="shared" si="15"/>
        <v>2957545.3721866207</v>
      </c>
      <c r="T34" s="23">
        <f t="shared" si="15"/>
        <v>2724557.4936393611</v>
      </c>
      <c r="U34" s="23">
        <f t="shared" si="15"/>
        <v>2573788.2366156699</v>
      </c>
      <c r="V34" s="23">
        <f t="shared" si="15"/>
        <v>2273319.2683395259</v>
      </c>
      <c r="W34" s="23">
        <f t="shared" si="15"/>
        <v>2190338.9898528201</v>
      </c>
      <c r="X34" s="23">
        <f t="shared" si="15"/>
        <v>2655516.9626356261</v>
      </c>
      <c r="Y34" s="23">
        <f t="shared" si="15"/>
        <v>3121320.7125472338</v>
      </c>
      <c r="Z34" s="23">
        <f t="shared" si="15"/>
        <v>3316807.124123327</v>
      </c>
      <c r="AA34" s="23">
        <f t="shared" si="15"/>
        <v>3203987.9621240818</v>
      </c>
      <c r="AB34" s="23">
        <f t="shared" si="15"/>
        <v>2905020.1132612256</v>
      </c>
      <c r="AC34" s="23"/>
      <c r="AE34" s="23">
        <f t="shared" ref="AE34:AP34" si="16">SUM(AE31:AE33)</f>
        <v>2409073.405416219</v>
      </c>
      <c r="AF34" s="23">
        <f t="shared" si="16"/>
        <v>4201340.3754427982</v>
      </c>
      <c r="AG34" s="23">
        <f t="shared" si="16"/>
        <v>3823521.0245710691</v>
      </c>
      <c r="AH34" s="23">
        <f t="shared" si="16"/>
        <v>2704621.007458617</v>
      </c>
      <c r="AI34" s="23">
        <f t="shared" si="16"/>
        <v>2461069.8728989898</v>
      </c>
      <c r="AJ34" s="23">
        <f t="shared" si="16"/>
        <v>2559975.6912919036</v>
      </c>
      <c r="AK34" s="23">
        <f t="shared" si="16"/>
        <v>2753250.5103359255</v>
      </c>
      <c r="AL34" s="23">
        <f t="shared" si="16"/>
        <v>3244339.0637959139</v>
      </c>
      <c r="AM34" s="23">
        <f t="shared" si="16"/>
        <v>3555757.2137753265</v>
      </c>
      <c r="AN34" s="23">
        <f t="shared" si="16"/>
        <v>3354175.3127110251</v>
      </c>
      <c r="AO34" s="23">
        <f t="shared" si="16"/>
        <v>2975497.8410309395</v>
      </c>
      <c r="AP34" s="23">
        <f t="shared" si="16"/>
        <v>2480298.8405788671</v>
      </c>
    </row>
    <row r="35" spans="1:42" x14ac:dyDescent="0.1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</row>
    <row r="36" spans="1:42" x14ac:dyDescent="0.15">
      <c r="A36" s="16" t="s">
        <v>72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</row>
    <row r="37" spans="1:42" x14ac:dyDescent="0.15">
      <c r="A37" t="s">
        <v>73</v>
      </c>
      <c r="C37" s="35">
        <v>1169245</v>
      </c>
      <c r="D37" s="35">
        <f>+C37+'POM Actual &amp; Forecast'!D44</f>
        <v>1164245</v>
      </c>
      <c r="E37" s="35">
        <f>+D37+'POM Actual &amp; Forecast'!E44</f>
        <v>1159245</v>
      </c>
      <c r="F37" s="35">
        <f>+E37+'POM Actual &amp; Forecast'!F44</f>
        <v>1154245</v>
      </c>
      <c r="G37" s="35">
        <f>+F37+'POM Actual &amp; Forecast'!G44</f>
        <v>1149245</v>
      </c>
      <c r="H37" s="35">
        <f>+G37+'POM Actual &amp; Forecast'!H44</f>
        <v>1144245</v>
      </c>
      <c r="I37" s="35">
        <f>+H37+'POM Actual &amp; Forecast'!I44</f>
        <v>1139245</v>
      </c>
      <c r="J37" s="35">
        <f>+I37+'POM Actual &amp; Forecast'!J44</f>
        <v>1134245</v>
      </c>
      <c r="K37" s="35">
        <f>+J37+'POM Actual &amp; Forecast'!K44</f>
        <v>1129245</v>
      </c>
      <c r="L37" s="35">
        <f>+K37+'POM Actual &amp; Forecast'!L44</f>
        <v>1124245</v>
      </c>
      <c r="M37" s="35">
        <f>+L37+'POM Actual &amp; Forecast'!M44</f>
        <v>1119245</v>
      </c>
      <c r="N37" s="35">
        <f>+M37+'POM Actual &amp; Forecast'!N44</f>
        <v>1114245</v>
      </c>
      <c r="Q37" s="35">
        <f>+N37+'POM Actual &amp; Forecast'!Q44</f>
        <v>1109245</v>
      </c>
      <c r="R37" s="35">
        <f>+Q37+'POM Actual &amp; Forecast'!R44</f>
        <v>1104245</v>
      </c>
      <c r="S37" s="35">
        <f>+R37+'POM Actual &amp; Forecast'!S44</f>
        <v>1099245</v>
      </c>
      <c r="T37" s="35">
        <f>+S37+'POM Actual &amp; Forecast'!T44</f>
        <v>1094245</v>
      </c>
      <c r="U37" s="35">
        <f>+T37+'POM Actual &amp; Forecast'!U44</f>
        <v>1089245</v>
      </c>
      <c r="V37" s="35">
        <f>+U37+'POM Actual &amp; Forecast'!V44</f>
        <v>1084245</v>
      </c>
      <c r="W37" s="35">
        <f>+V37+'Assumptions Summary'!W35</f>
        <v>1079245</v>
      </c>
      <c r="X37" s="35">
        <f>+W37+'Assumptions Summary'!X35</f>
        <v>1074245</v>
      </c>
      <c r="Y37" s="35">
        <f>+X37+'Assumptions Summary'!Y35</f>
        <v>1069245</v>
      </c>
      <c r="Z37" s="35">
        <f>+Y37+'Assumptions Summary'!Z35</f>
        <v>1064245</v>
      </c>
      <c r="AA37" s="35">
        <f>+Z37+'Assumptions Summary'!AA35</f>
        <v>1059245</v>
      </c>
      <c r="AB37" s="35">
        <f>+AA37+'Assumptions Summary'!AB35</f>
        <v>1054245</v>
      </c>
      <c r="AC37" s="35"/>
      <c r="AE37" s="35">
        <f>+AB37+'Assumptions Summary'!AE35</f>
        <v>1049245</v>
      </c>
      <c r="AF37" s="35">
        <f>+AE37+'Assumptions Summary'!AF35</f>
        <v>1044245</v>
      </c>
      <c r="AG37" s="35">
        <f>+AF37+'Assumptions Summary'!AG35</f>
        <v>1039245</v>
      </c>
      <c r="AH37" s="35">
        <f>+AG37+'Assumptions Summary'!AH35</f>
        <v>1034245</v>
      </c>
      <c r="AI37" s="35">
        <f>+AH37+'Assumptions Summary'!AI35</f>
        <v>1029245</v>
      </c>
      <c r="AJ37" s="35">
        <f>+AI37+'Assumptions Summary'!AJ35</f>
        <v>1024245</v>
      </c>
      <c r="AK37" s="35">
        <f>+AJ37+'Assumptions Summary'!AK35</f>
        <v>853537.5</v>
      </c>
      <c r="AL37" s="35">
        <f>+AK37+'Assumptions Summary'!AL35</f>
        <v>682830</v>
      </c>
      <c r="AM37" s="35">
        <f>+AL37+'Assumptions Summary'!AM35</f>
        <v>512122.5</v>
      </c>
      <c r="AN37" s="35">
        <f>+AM37+'Assumptions Summary'!AN35</f>
        <v>341415</v>
      </c>
      <c r="AO37" s="35">
        <f>+AN37+'Assumptions Summary'!AO35</f>
        <v>170707.5</v>
      </c>
      <c r="AP37" s="35">
        <f>+AO37+'Assumptions Summary'!AP35</f>
        <v>0</v>
      </c>
    </row>
    <row r="38" spans="1:42" x14ac:dyDescent="0.15">
      <c r="C38" s="23"/>
      <c r="D38" s="23"/>
      <c r="F38" s="23"/>
      <c r="K38" s="23"/>
      <c r="Q38" s="23"/>
      <c r="R38" s="23"/>
      <c r="T38" s="23"/>
      <c r="Y38" s="23"/>
      <c r="AE38" s="23"/>
    </row>
    <row r="39" spans="1:42" x14ac:dyDescent="0.15">
      <c r="A39" s="16" t="s">
        <v>74</v>
      </c>
      <c r="C39" s="23"/>
      <c r="D39" s="23"/>
      <c r="F39" s="23"/>
      <c r="K39" s="23"/>
      <c r="Q39" s="23"/>
      <c r="R39" s="23"/>
      <c r="T39" s="23"/>
      <c r="Y39" s="23"/>
      <c r="AE39" s="23"/>
    </row>
    <row r="40" spans="1:42" x14ac:dyDescent="0.15">
      <c r="A40" s="26" t="s">
        <v>207</v>
      </c>
      <c r="C40" s="23">
        <v>500000</v>
      </c>
      <c r="D40" s="23">
        <f>+C40</f>
        <v>500000</v>
      </c>
      <c r="E40" s="23">
        <f t="shared" ref="E40:N40" si="17">+D40</f>
        <v>500000</v>
      </c>
      <c r="F40" s="23">
        <f t="shared" si="17"/>
        <v>500000</v>
      </c>
      <c r="G40" s="23">
        <f t="shared" si="17"/>
        <v>500000</v>
      </c>
      <c r="H40" s="23">
        <f t="shared" si="17"/>
        <v>500000</v>
      </c>
      <c r="I40" s="23">
        <f t="shared" si="17"/>
        <v>500000</v>
      </c>
      <c r="J40" s="23">
        <f t="shared" si="17"/>
        <v>500000</v>
      </c>
      <c r="K40" s="23">
        <f t="shared" si="17"/>
        <v>500000</v>
      </c>
      <c r="L40" s="23">
        <f t="shared" si="17"/>
        <v>500000</v>
      </c>
      <c r="M40" s="23">
        <f t="shared" si="17"/>
        <v>500000</v>
      </c>
      <c r="N40" s="23">
        <f t="shared" si="17"/>
        <v>500000</v>
      </c>
      <c r="Q40" s="23">
        <f>+N40</f>
        <v>500000</v>
      </c>
      <c r="R40" s="23">
        <f>+Q40</f>
        <v>500000</v>
      </c>
      <c r="S40" s="23">
        <f t="shared" ref="S40:AB40" si="18">+R40</f>
        <v>500000</v>
      </c>
      <c r="T40" s="23">
        <f t="shared" si="18"/>
        <v>500000</v>
      </c>
      <c r="U40" s="23">
        <f t="shared" si="18"/>
        <v>500000</v>
      </c>
      <c r="V40" s="23">
        <f t="shared" si="18"/>
        <v>500000</v>
      </c>
      <c r="W40" s="23">
        <f t="shared" si="18"/>
        <v>500000</v>
      </c>
      <c r="X40" s="23">
        <f t="shared" si="18"/>
        <v>500000</v>
      </c>
      <c r="Y40" s="23">
        <f t="shared" si="18"/>
        <v>500000</v>
      </c>
      <c r="Z40" s="23">
        <f t="shared" si="18"/>
        <v>500000</v>
      </c>
      <c r="AA40" s="23">
        <f t="shared" si="18"/>
        <v>500000</v>
      </c>
      <c r="AB40" s="23">
        <f t="shared" si="18"/>
        <v>500000</v>
      </c>
      <c r="AC40" s="23"/>
      <c r="AE40" s="23">
        <f>+AB40</f>
        <v>500000</v>
      </c>
      <c r="AF40" s="23">
        <f t="shared" ref="AF40:AP40" si="19">+AE40</f>
        <v>500000</v>
      </c>
      <c r="AG40" s="23">
        <f t="shared" si="19"/>
        <v>500000</v>
      </c>
      <c r="AH40" s="23">
        <f t="shared" si="19"/>
        <v>500000</v>
      </c>
      <c r="AI40" s="23">
        <f t="shared" si="19"/>
        <v>500000</v>
      </c>
      <c r="AJ40" s="23">
        <f t="shared" si="19"/>
        <v>500000</v>
      </c>
      <c r="AK40" s="23">
        <f t="shared" si="19"/>
        <v>500000</v>
      </c>
      <c r="AL40" s="23">
        <f t="shared" si="19"/>
        <v>500000</v>
      </c>
      <c r="AM40" s="23">
        <f t="shared" si="19"/>
        <v>500000</v>
      </c>
      <c r="AN40" s="23">
        <f t="shared" si="19"/>
        <v>500000</v>
      </c>
      <c r="AO40" s="23">
        <f t="shared" si="19"/>
        <v>500000</v>
      </c>
      <c r="AP40" s="23">
        <f t="shared" si="19"/>
        <v>500000</v>
      </c>
    </row>
    <row r="41" spans="1:42" x14ac:dyDescent="0.15">
      <c r="A41" s="26" t="s">
        <v>96</v>
      </c>
      <c r="C41" s="23">
        <f>-495000+'POM Actual &amp; Forecast'!C64</f>
        <v>-570000</v>
      </c>
      <c r="D41" s="23">
        <f>+C41+'POM Actual &amp; Forecast'!D64</f>
        <v>-645000</v>
      </c>
      <c r="E41" s="23">
        <f>+D41+'POM Actual &amp; Forecast'!E64</f>
        <v>-720000</v>
      </c>
      <c r="F41" s="23">
        <f>+E41+'POM Actual &amp; Forecast'!F64</f>
        <v>-795000</v>
      </c>
      <c r="G41" s="23">
        <f>+F41+'POM Actual &amp; Forecast'!G64</f>
        <v>-870000</v>
      </c>
      <c r="H41" s="23">
        <f>+G41+'POM Actual &amp; Forecast'!H64</f>
        <v>-945000</v>
      </c>
      <c r="I41" s="23">
        <f>+H41+'POM Actual &amp; Forecast'!I64</f>
        <v>-1020000</v>
      </c>
      <c r="J41" s="23">
        <f>+I41+'POM Actual &amp; Forecast'!J64</f>
        <v>-1095000</v>
      </c>
      <c r="K41" s="23">
        <f>+J41+'POM Actual &amp; Forecast'!K64</f>
        <v>-1170000</v>
      </c>
      <c r="L41" s="23">
        <f>+K41+'POM Actual &amp; Forecast'!L64</f>
        <v>-1245000</v>
      </c>
      <c r="M41" s="23">
        <f>+L41+'POM Actual &amp; Forecast'!M64</f>
        <v>-1320000</v>
      </c>
      <c r="N41" s="23">
        <f>+M41+'POM Actual &amp; Forecast'!N64</f>
        <v>-1720000</v>
      </c>
      <c r="Q41" s="23">
        <f>N41+'POM Actual &amp; Forecast'!Q64</f>
        <v>-1820000</v>
      </c>
      <c r="R41" s="23">
        <f>+Q41+'POM Actual &amp; Forecast'!R64</f>
        <v>-1920000</v>
      </c>
      <c r="S41" s="23">
        <f>+R41+'POM Actual &amp; Forecast'!S64</f>
        <v>-2020000</v>
      </c>
      <c r="T41" s="23">
        <f>+S41+'POM Actual &amp; Forecast'!T64</f>
        <v>-2120000</v>
      </c>
      <c r="U41" s="23">
        <f>+T41+'POM Actual &amp; Forecast'!U64</f>
        <v>-2220000</v>
      </c>
      <c r="V41" s="23">
        <f>+U41+'POM Actual &amp; Forecast'!V64</f>
        <v>-2320000</v>
      </c>
      <c r="W41" s="23">
        <f>+V41+'Assumptions Summary'!W38</f>
        <v>-2420000</v>
      </c>
      <c r="X41" s="23">
        <f>+W41+'Assumptions Summary'!X38</f>
        <v>-2420000</v>
      </c>
      <c r="Y41" s="23">
        <f>+X41+'Assumptions Summary'!Y38</f>
        <v>-2420000</v>
      </c>
      <c r="Z41" s="23">
        <f>+Y41+'Assumptions Summary'!Z38</f>
        <v>-2420000</v>
      </c>
      <c r="AA41" s="23">
        <f>+Z41+'Assumptions Summary'!AA38</f>
        <v>-2420000</v>
      </c>
      <c r="AB41" s="23">
        <f>+AA41+'Assumptions Summary'!AB38</f>
        <v>-2420000</v>
      </c>
      <c r="AC41" s="23"/>
      <c r="AE41" s="23">
        <f>+AB41+'Assumptions Summary'!AE38</f>
        <v>-2420000</v>
      </c>
      <c r="AF41" s="23">
        <f>+AE41+'Assumptions Summary'!AF38</f>
        <v>-2420000</v>
      </c>
      <c r="AG41" s="23">
        <f>+AF41+'Assumptions Summary'!AG38</f>
        <v>-2520000</v>
      </c>
      <c r="AH41" s="23">
        <f>+AG41+'Assumptions Summary'!AH38</f>
        <v>-2620000</v>
      </c>
      <c r="AI41" s="23">
        <f>+AH41+'Assumptions Summary'!AI38</f>
        <v>-2720000</v>
      </c>
      <c r="AJ41" s="23">
        <f>+AI41+'Assumptions Summary'!AJ38</f>
        <v>-2820000</v>
      </c>
      <c r="AK41" s="23">
        <f>+AJ41+'Assumptions Summary'!AK38</f>
        <v>-2920000</v>
      </c>
      <c r="AL41" s="23">
        <f>+AK41+'Assumptions Summary'!AL38</f>
        <v>-3020000</v>
      </c>
      <c r="AM41" s="23">
        <f>+AL41+'Assumptions Summary'!AM38</f>
        <v>-3120000</v>
      </c>
      <c r="AN41" s="23">
        <f>+AM41+'Assumptions Summary'!AN38</f>
        <v>-3220000</v>
      </c>
      <c r="AO41" s="23">
        <f>+AN41+'Assumptions Summary'!AO38</f>
        <v>-3320000</v>
      </c>
      <c r="AP41" s="23">
        <f>+AO41+'Assumptions Summary'!AP38</f>
        <v>-3920000</v>
      </c>
    </row>
    <row r="42" spans="1:42" x14ac:dyDescent="0.15">
      <c r="A42" s="26" t="s">
        <v>75</v>
      </c>
      <c r="C42" s="28">
        <v>850011</v>
      </c>
      <c r="D42" s="28">
        <f>+C42+'IS Actual &amp; Forecast'!D46</f>
        <v>1024860.9942000002</v>
      </c>
      <c r="E42" s="28">
        <f>+D42+'IS Actual &amp; Forecast'!E46</f>
        <v>1154733.4679108574</v>
      </c>
      <c r="F42" s="28">
        <f>+E42+'IS Actual &amp; Forecast'!F46</f>
        <v>1220618.079079916</v>
      </c>
      <c r="G42" s="28">
        <f>+F42+'IS Actual &amp; Forecast'!G46</f>
        <v>1328304.1301500474</v>
      </c>
      <c r="H42" s="28">
        <f>+G42+'IS Actual &amp; Forecast'!H46</f>
        <v>1496019.6317961139</v>
      </c>
      <c r="I42" s="28">
        <f>+H42+'IS Actual &amp; Forecast'!I46</f>
        <v>1670811.7748600477</v>
      </c>
      <c r="J42" s="28">
        <f>+I42+'IS Actual &amp; Forecast'!J46</f>
        <v>1853582.8725987305</v>
      </c>
      <c r="K42" s="28">
        <f>+J42+'IS Actual &amp; Forecast'!K46</f>
        <v>1998636.6120995765</v>
      </c>
      <c r="L42" s="28">
        <f>+K42+'IS Actual &amp; Forecast'!L46</f>
        <v>2059140.2479784004</v>
      </c>
      <c r="M42" s="28">
        <f>+L42+'IS Actual &amp; Forecast'!M46</f>
        <v>2170078.6869677748</v>
      </c>
      <c r="N42" s="28">
        <f>+M42+'IS Actual &amp; Forecast'!N46</f>
        <v>2234754.5753100244</v>
      </c>
      <c r="Q42" s="28">
        <f>N42+'IS Actual &amp; Forecast'!Q46</f>
        <v>2360546.6017852351</v>
      </c>
      <c r="R42" s="28">
        <f>+Q42+'IS Actual &amp; Forecast'!R46</f>
        <v>2597813.2043952351</v>
      </c>
      <c r="S42" s="28">
        <f>+R42+'IS Actual &amp; Forecast'!S46</f>
        <v>2758953.6925276327</v>
      </c>
      <c r="T42" s="28">
        <f>+S42+'IS Actual &amp; Forecast'!T46</f>
        <v>2826751.4100061315</v>
      </c>
      <c r="U42" s="28">
        <f>+T42+'IS Actual &amp; Forecast'!U46</f>
        <v>2903873.8751706588</v>
      </c>
      <c r="V42" s="28">
        <f>+U42+'IS Actual &amp; Forecast'!V46</f>
        <v>2945039.1925362856</v>
      </c>
      <c r="W42" s="28">
        <f>+V42+'IS Actual &amp; Forecast'!W46</f>
        <v>3042244.010239732</v>
      </c>
      <c r="X42" s="28">
        <f>+W42+'IS Actual &amp; Forecast'!X46</f>
        <v>3214062.1480399012</v>
      </c>
      <c r="Y42" s="28">
        <f>+X42+'IS Actual &amp; Forecast'!Y46</f>
        <v>3442024.2111031348</v>
      </c>
      <c r="Z42" s="28">
        <f>+Y42+'IS Actual &amp; Forecast'!Z46</f>
        <v>3637575.372353761</v>
      </c>
      <c r="AA42" s="28">
        <f>+Z42+'IS Actual &amp; Forecast'!AA46</f>
        <v>3804809.3891760251</v>
      </c>
      <c r="AB42" s="28">
        <f>+AA42+'IS Actual &amp; Forecast'!AB46</f>
        <v>3922270.8360954165</v>
      </c>
      <c r="AC42" s="43"/>
      <c r="AE42" s="28">
        <f>+AB42+'IS Actual &amp; Forecast'!AE46</f>
        <v>4175010.5911412598</v>
      </c>
      <c r="AF42" s="28">
        <f>+AE42+'IS Actual &amp; Forecast'!AF46</f>
        <v>4542485.5632130867</v>
      </c>
      <c r="AG42" s="28">
        <f>+AF42+'IS Actual &amp; Forecast'!AG46</f>
        <v>4724485.5718398467</v>
      </c>
      <c r="AH42" s="28">
        <f>+AG42+'IS Actual &amp; Forecast'!AH46</f>
        <v>4829364.1882622531</v>
      </c>
      <c r="AI42" s="28">
        <f>+AH42+'IS Actual &amp; Forecast'!AI46</f>
        <v>4949541.5639233449</v>
      </c>
      <c r="AJ42" s="28">
        <f>+AI42+'IS Actual &amp; Forecast'!AJ46</f>
        <v>5081722.9515544055</v>
      </c>
      <c r="AK42" s="28">
        <f>+AJ42+'IS Actual &amp; Forecast'!AK46</f>
        <v>5265877.8864273708</v>
      </c>
      <c r="AL42" s="28">
        <f>+AK42+'IS Actual &amp; Forecast'!AL46</f>
        <v>5545973.4229914416</v>
      </c>
      <c r="AM42" s="28">
        <f>+AL42+'IS Actual &amp; Forecast'!AM46</f>
        <v>5827811.4474829687</v>
      </c>
      <c r="AN42" s="28">
        <f>+AM42+'IS Actual &amp; Forecast'!AN46</f>
        <v>6061527.9180624392</v>
      </c>
      <c r="AO42" s="28">
        <f>+AN42+'IS Actual &amp; Forecast'!AO46</f>
        <v>6247250.412310183</v>
      </c>
      <c r="AP42" s="28">
        <f>+AO42+'IS Actual &amp; Forecast'!AP46</f>
        <v>6352124.6993431468</v>
      </c>
    </row>
    <row r="43" spans="1:42" x14ac:dyDescent="0.15">
      <c r="A43" s="26" t="s">
        <v>76</v>
      </c>
      <c r="C43" s="23">
        <f>SUM(C40:C42)</f>
        <v>780011</v>
      </c>
      <c r="D43" s="23">
        <f t="shared" ref="D43:N43" si="20">SUM(D40:D42)</f>
        <v>879860.99420000019</v>
      </c>
      <c r="E43" s="23">
        <f t="shared" si="20"/>
        <v>934733.46791085741</v>
      </c>
      <c r="F43" s="23">
        <f t="shared" si="20"/>
        <v>925618.079079916</v>
      </c>
      <c r="G43" s="23">
        <f t="shared" si="20"/>
        <v>958304.13015004736</v>
      </c>
      <c r="H43" s="23">
        <f t="shared" si="20"/>
        <v>1051019.6317961139</v>
      </c>
      <c r="I43" s="23">
        <f t="shared" si="20"/>
        <v>1150811.7748600477</v>
      </c>
      <c r="J43" s="23">
        <f t="shared" si="20"/>
        <v>1258582.8725987305</v>
      </c>
      <c r="K43" s="23">
        <f t="shared" si="20"/>
        <v>1328636.6120995765</v>
      </c>
      <c r="L43" s="23">
        <f t="shared" si="20"/>
        <v>1314140.2479784004</v>
      </c>
      <c r="M43" s="23">
        <f t="shared" si="20"/>
        <v>1350078.6869677748</v>
      </c>
      <c r="N43" s="23">
        <f t="shared" si="20"/>
        <v>1014754.5753100244</v>
      </c>
      <c r="Q43" s="23">
        <f>SUM(Q40:Q42)</f>
        <v>1040546.6017852351</v>
      </c>
      <c r="R43" s="23">
        <f t="shared" ref="R43:AB43" si="21">SUM(R40:R42)</f>
        <v>1177813.2043952351</v>
      </c>
      <c r="S43" s="23">
        <f t="shared" si="21"/>
        <v>1238953.6925276327</v>
      </c>
      <c r="T43" s="23">
        <f t="shared" si="21"/>
        <v>1206751.4100061315</v>
      </c>
      <c r="U43" s="23">
        <f t="shared" si="21"/>
        <v>1183873.8751706588</v>
      </c>
      <c r="V43" s="23">
        <f t="shared" si="21"/>
        <v>1125039.1925362856</v>
      </c>
      <c r="W43" s="23">
        <f t="shared" si="21"/>
        <v>1122244.010239732</v>
      </c>
      <c r="X43" s="23">
        <f t="shared" si="21"/>
        <v>1294062.1480399012</v>
      </c>
      <c r="Y43" s="23">
        <f t="shared" si="21"/>
        <v>1522024.2111031348</v>
      </c>
      <c r="Z43" s="23">
        <f t="shared" si="21"/>
        <v>1717575.372353761</v>
      </c>
      <c r="AA43" s="23">
        <f t="shared" si="21"/>
        <v>1884809.3891760251</v>
      </c>
      <c r="AB43" s="23">
        <f t="shared" si="21"/>
        <v>2002270.8360954165</v>
      </c>
      <c r="AC43" s="23"/>
      <c r="AE43" s="23">
        <f>SUM(AE40:AE42)</f>
        <v>2255010.5911412598</v>
      </c>
      <c r="AF43" s="23">
        <f t="shared" ref="AF43:AP43" si="22">SUM(AF40:AF42)</f>
        <v>2622485.5632130867</v>
      </c>
      <c r="AG43" s="23">
        <f t="shared" si="22"/>
        <v>2704485.5718398467</v>
      </c>
      <c r="AH43" s="23">
        <f t="shared" si="22"/>
        <v>2709364.1882622531</v>
      </c>
      <c r="AI43" s="23">
        <f t="shared" si="22"/>
        <v>2729541.5639233449</v>
      </c>
      <c r="AJ43" s="23">
        <f t="shared" si="22"/>
        <v>2761722.9515544055</v>
      </c>
      <c r="AK43" s="23">
        <f t="shared" si="22"/>
        <v>2845877.8864273708</v>
      </c>
      <c r="AL43" s="23">
        <f t="shared" si="22"/>
        <v>3025973.4229914416</v>
      </c>
      <c r="AM43" s="23">
        <f t="shared" si="22"/>
        <v>3207811.4474829687</v>
      </c>
      <c r="AN43" s="23">
        <f t="shared" si="22"/>
        <v>3341527.9180624392</v>
      </c>
      <c r="AO43" s="23">
        <f t="shared" si="22"/>
        <v>3427250.412310183</v>
      </c>
      <c r="AP43" s="23">
        <f t="shared" si="22"/>
        <v>2932124.6993431468</v>
      </c>
    </row>
    <row r="44" spans="1:42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</row>
    <row r="45" spans="1:42" ht="14" thickBot="1" x14ac:dyDescent="0.2">
      <c r="A45" t="s">
        <v>77</v>
      </c>
      <c r="C45" s="32">
        <f>C34+C37+C43</f>
        <v>4791216</v>
      </c>
      <c r="D45" s="32">
        <f t="shared" ref="D45:N45" si="23">D34+D37+D43</f>
        <v>4903645.4098542063</v>
      </c>
      <c r="E45" s="32">
        <f t="shared" si="23"/>
        <v>4991174.0456795488</v>
      </c>
      <c r="F45" s="32">
        <f t="shared" si="23"/>
        <v>4708286.619377072</v>
      </c>
      <c r="G45" s="32">
        <f t="shared" si="23"/>
        <v>4855038.2291686423</v>
      </c>
      <c r="H45" s="32">
        <f t="shared" si="23"/>
        <v>5110266.9843754414</v>
      </c>
      <c r="I45" s="32">
        <f t="shared" si="23"/>
        <v>5147357.8557233922</v>
      </c>
      <c r="J45" s="32">
        <f t="shared" si="23"/>
        <v>5654524.4423839618</v>
      </c>
      <c r="K45" s="32">
        <f t="shared" si="23"/>
        <v>5346765.0370257422</v>
      </c>
      <c r="L45" s="32">
        <f t="shared" si="23"/>
        <v>5131216.9920820724</v>
      </c>
      <c r="M45" s="32">
        <f t="shared" si="23"/>
        <v>5086909.6584772998</v>
      </c>
      <c r="N45" s="32">
        <f t="shared" si="23"/>
        <v>4484359.0977581348</v>
      </c>
      <c r="Q45" s="32">
        <f>Q34+Q37+Q43</f>
        <v>4592221.3686920274</v>
      </c>
      <c r="R45" s="32">
        <f t="shared" ref="R45:AB45" si="24">R34+R37+R43</f>
        <v>5057760.1106101684</v>
      </c>
      <c r="S45" s="32">
        <f t="shared" si="24"/>
        <v>5295744.0647142529</v>
      </c>
      <c r="T45" s="32">
        <f t="shared" si="24"/>
        <v>5025553.9036454931</v>
      </c>
      <c r="U45" s="32">
        <f t="shared" si="24"/>
        <v>4846907.1117863283</v>
      </c>
      <c r="V45" s="32">
        <f t="shared" si="24"/>
        <v>4482603.4608758111</v>
      </c>
      <c r="W45" s="32">
        <f t="shared" si="24"/>
        <v>4391828.000092552</v>
      </c>
      <c r="X45" s="32">
        <f t="shared" si="24"/>
        <v>5023824.1106755268</v>
      </c>
      <c r="Y45" s="32">
        <f t="shared" si="24"/>
        <v>5712589.923650369</v>
      </c>
      <c r="Z45" s="32">
        <f t="shared" si="24"/>
        <v>6098627.496477088</v>
      </c>
      <c r="AA45" s="32">
        <f t="shared" si="24"/>
        <v>6148042.3513001064</v>
      </c>
      <c r="AB45" s="32">
        <f t="shared" si="24"/>
        <v>5961535.9493566416</v>
      </c>
      <c r="AC45" s="42"/>
      <c r="AE45" s="32">
        <f t="shared" ref="AE45:AP45" si="25">AE34+AE37+AE43</f>
        <v>5713328.9965574788</v>
      </c>
      <c r="AF45" s="32">
        <f t="shared" si="25"/>
        <v>7868070.9386558849</v>
      </c>
      <c r="AG45" s="32">
        <f t="shared" si="25"/>
        <v>7567251.5964109153</v>
      </c>
      <c r="AH45" s="32">
        <f t="shared" si="25"/>
        <v>6448230.19572087</v>
      </c>
      <c r="AI45" s="32">
        <f t="shared" si="25"/>
        <v>6219856.4368223343</v>
      </c>
      <c r="AJ45" s="32">
        <f t="shared" si="25"/>
        <v>6345943.6428463086</v>
      </c>
      <c r="AK45" s="32">
        <f t="shared" si="25"/>
        <v>6452665.8967632968</v>
      </c>
      <c r="AL45" s="32">
        <f t="shared" si="25"/>
        <v>6953142.4867873555</v>
      </c>
      <c r="AM45" s="32">
        <f t="shared" si="25"/>
        <v>7275691.1612582952</v>
      </c>
      <c r="AN45" s="32">
        <f t="shared" si="25"/>
        <v>7037118.2307734638</v>
      </c>
      <c r="AO45" s="32">
        <f t="shared" si="25"/>
        <v>6573455.7533411225</v>
      </c>
      <c r="AP45" s="32">
        <f t="shared" si="25"/>
        <v>5412423.5399220139</v>
      </c>
    </row>
    <row r="46" spans="1:42" ht="14" thickTop="1" x14ac:dyDescent="0.15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</row>
    <row r="47" spans="1:42" x14ac:dyDescent="0.15">
      <c r="A47" t="s">
        <v>51</v>
      </c>
    </row>
    <row r="48" spans="1:42" x14ac:dyDescent="0.15">
      <c r="A48" t="s">
        <v>51</v>
      </c>
    </row>
    <row r="50" spans="1:1" x14ac:dyDescent="0.15">
      <c r="A50" t="s">
        <v>51</v>
      </c>
    </row>
    <row r="51" spans="1:1" x14ac:dyDescent="0.15">
      <c r="A51" t="s">
        <v>51</v>
      </c>
    </row>
  </sheetData>
  <pageMargins left="0.75" right="0.75" top="1" bottom="1" header="0.5" footer="0.5"/>
  <pageSetup scale="61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R41"/>
  <sheetViews>
    <sheetView workbookViewId="0">
      <pane xSplit="2" ySplit="7" topLeftCell="C9" activePane="bottomRight" state="frozen"/>
      <selection activeCell="AT21" sqref="AT21"/>
      <selection pane="topRight" activeCell="AT21" sqref="AT21"/>
      <selection pane="bottomLeft" activeCell="AT21" sqref="AT21"/>
      <selection pane="bottomRight" activeCell="AV34" sqref="AV34"/>
    </sheetView>
  </sheetViews>
  <sheetFormatPr baseColWidth="10" defaultColWidth="8.83203125" defaultRowHeight="13" outlineLevelCol="1" x14ac:dyDescent="0.15"/>
  <cols>
    <col min="1" max="1" width="78.1640625" customWidth="1"/>
    <col min="3" max="3" width="12.5" hidden="1" customWidth="1" outlineLevel="1"/>
    <col min="4" max="4" width="11.6640625" hidden="1" customWidth="1" outlineLevel="1"/>
    <col min="5" max="7" width="11.33203125" hidden="1" customWidth="1" outlineLevel="1"/>
    <col min="8" max="8" width="11.1640625" hidden="1" customWidth="1" outlineLevel="1"/>
    <col min="9" max="14" width="11.33203125" hidden="1" customWidth="1" outlineLevel="1"/>
    <col min="15" max="15" width="11.5" customWidth="1" collapsed="1"/>
    <col min="16" max="16" width="2.5" customWidth="1"/>
    <col min="17" max="18" width="11.83203125" hidden="1" customWidth="1" outlineLevel="1"/>
    <col min="19" max="21" width="11.33203125" hidden="1" customWidth="1" outlineLevel="1"/>
    <col min="22" max="22" width="11" hidden="1" customWidth="1" outlineLevel="1"/>
    <col min="23" max="23" width="11.6640625" customWidth="1" outlineLevel="1"/>
    <col min="24" max="24" width="11.33203125" hidden="1" customWidth="1" outlineLevel="1"/>
    <col min="25" max="29" width="11.1640625" hidden="1" customWidth="1" outlineLevel="1"/>
    <col min="30" max="30" width="11.6640625" hidden="1" customWidth="1"/>
    <col min="31" max="31" width="2.83203125" hidden="1" customWidth="1"/>
    <col min="32" max="32" width="9.5" hidden="1" customWidth="1" outlineLevel="1"/>
    <col min="33" max="36" width="11.1640625" hidden="1" customWidth="1" outlineLevel="1"/>
    <col min="37" max="38" width="11.5" hidden="1" customWidth="1" outlineLevel="1"/>
    <col min="39" max="43" width="11.1640625" hidden="1" customWidth="1" outlineLevel="1"/>
    <col min="44" max="44" width="11.1640625" hidden="1" customWidth="1"/>
  </cols>
  <sheetData>
    <row r="1" spans="1:44" x14ac:dyDescent="0.15">
      <c r="A1" s="1" t="str">
        <f>+'IS Actual &amp; Forecast'!A1</f>
        <v>ABC Construction Company</v>
      </c>
    </row>
    <row r="2" spans="1:44" ht="20" x14ac:dyDescent="0.2">
      <c r="A2" s="2" t="s">
        <v>173</v>
      </c>
      <c r="H2" s="38" t="s">
        <v>82</v>
      </c>
      <c r="V2" s="38" t="s">
        <v>84</v>
      </c>
      <c r="W2" s="38"/>
      <c r="AK2" s="38" t="s">
        <v>90</v>
      </c>
    </row>
    <row r="5" spans="1:44" x14ac:dyDescent="0.15">
      <c r="O5" s="47" t="s">
        <v>54</v>
      </c>
      <c r="W5" s="47" t="s">
        <v>54</v>
      </c>
    </row>
    <row r="6" spans="1:44" x14ac:dyDescent="0.15"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/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  <c r="W6" s="89" t="s">
        <v>213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 t="s">
        <v>99</v>
      </c>
      <c r="AD6" s="47" t="s">
        <v>54</v>
      </c>
      <c r="AE6" s="36"/>
      <c r="AF6" s="47" t="s">
        <v>99</v>
      </c>
      <c r="AG6" s="47" t="s">
        <v>99</v>
      </c>
      <c r="AH6" s="47" t="s">
        <v>99</v>
      </c>
      <c r="AI6" s="47" t="s">
        <v>99</v>
      </c>
      <c r="AJ6" s="47" t="s">
        <v>99</v>
      </c>
      <c r="AK6" s="47" t="s">
        <v>99</v>
      </c>
      <c r="AL6" s="47" t="s">
        <v>99</v>
      </c>
      <c r="AM6" s="47" t="s">
        <v>99</v>
      </c>
      <c r="AN6" s="47" t="s">
        <v>99</v>
      </c>
      <c r="AO6" s="47" t="s">
        <v>99</v>
      </c>
      <c r="AP6" s="47" t="s">
        <v>99</v>
      </c>
      <c r="AQ6" s="47" t="s">
        <v>99</v>
      </c>
      <c r="AR6" s="47" t="s">
        <v>54</v>
      </c>
    </row>
    <row r="7" spans="1:44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94" t="s">
        <v>84</v>
      </c>
      <c r="X7" s="4" t="s">
        <v>7</v>
      </c>
      <c r="Y7" s="4" t="s">
        <v>8</v>
      </c>
      <c r="Z7" s="4" t="s">
        <v>9</v>
      </c>
      <c r="AA7" s="4" t="s">
        <v>10</v>
      </c>
      <c r="AB7" s="4" t="s">
        <v>11</v>
      </c>
      <c r="AC7" s="4" t="s">
        <v>12</v>
      </c>
      <c r="AD7" s="94" t="s">
        <v>84</v>
      </c>
      <c r="AF7" s="4" t="s">
        <v>1</v>
      </c>
      <c r="AG7" s="4" t="s">
        <v>2</v>
      </c>
      <c r="AH7" s="4" t="s">
        <v>3</v>
      </c>
      <c r="AI7" s="4" t="s">
        <v>4</v>
      </c>
      <c r="AJ7" s="4" t="s">
        <v>5</v>
      </c>
      <c r="AK7" s="4" t="s">
        <v>6</v>
      </c>
      <c r="AL7" s="4" t="s">
        <v>7</v>
      </c>
      <c r="AM7" s="4" t="s">
        <v>8</v>
      </c>
      <c r="AN7" s="4" t="s">
        <v>9</v>
      </c>
      <c r="AO7" s="4" t="s">
        <v>10</v>
      </c>
      <c r="AP7" s="4" t="s">
        <v>11</v>
      </c>
      <c r="AQ7" s="4" t="s">
        <v>12</v>
      </c>
      <c r="AR7" s="94" t="s">
        <v>84</v>
      </c>
    </row>
    <row r="8" spans="1:44" x14ac:dyDescent="0.15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Q8" s="41"/>
      <c r="R8" s="41"/>
      <c r="S8" s="41"/>
      <c r="T8" s="41"/>
      <c r="U8" s="41"/>
      <c r="V8" s="41"/>
      <c r="X8" s="41"/>
      <c r="Y8" s="41"/>
      <c r="Z8" s="41"/>
      <c r="AA8" s="41"/>
      <c r="AB8" s="41"/>
      <c r="AC8" s="41"/>
      <c r="AD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</row>
    <row r="9" spans="1:44" x14ac:dyDescent="0.15">
      <c r="A9" s="54" t="s">
        <v>183</v>
      </c>
      <c r="C9" s="31">
        <f>+'IS Actual &amp; Forecast'!C46</f>
        <v>112718.38900000005</v>
      </c>
      <c r="D9" s="31">
        <f>+'IS Actual &amp; Forecast'!D46</f>
        <v>174849.99420000016</v>
      </c>
      <c r="E9" s="31">
        <f>+'IS Actual &amp; Forecast'!E46</f>
        <v>129872.47371085733</v>
      </c>
      <c r="F9" s="31">
        <f>+'IS Actual &amp; Forecast'!F46</f>
        <v>65884.611169058568</v>
      </c>
      <c r="G9" s="31">
        <f>+'IS Actual &amp; Forecast'!G46</f>
        <v>107686.05107013127</v>
      </c>
      <c r="H9" s="31">
        <f>+'IS Actual &amp; Forecast'!H46</f>
        <v>167715.50164606649</v>
      </c>
      <c r="I9" s="31">
        <f>+'IS Actual &amp; Forecast'!I46</f>
        <v>174792.14306393373</v>
      </c>
      <c r="J9" s="31">
        <f>+'IS Actual &amp; Forecast'!J46</f>
        <v>182771.09773868279</v>
      </c>
      <c r="K9" s="31">
        <f>+'IS Actual &amp; Forecast'!K46</f>
        <v>145053.73950084602</v>
      </c>
      <c r="L9" s="31">
        <f>+'IS Actual &amp; Forecast'!L46</f>
        <v>60503.635878823996</v>
      </c>
      <c r="M9" s="31">
        <f>+'IS Actual &amp; Forecast'!M46</f>
        <v>110938.43898937415</v>
      </c>
      <c r="N9" s="31">
        <f>+'IS Actual &amp; Forecast'!N46</f>
        <v>64675.888342249709</v>
      </c>
      <c r="O9" s="31">
        <f>SUM(C9:N9)</f>
        <v>1497461.9643100242</v>
      </c>
      <c r="Q9" s="31">
        <f>+'IS Actual &amp; Forecast'!Q46</f>
        <v>125792.02647521088</v>
      </c>
      <c r="R9" s="31">
        <f>+'IS Actual &amp; Forecast'!R46</f>
        <v>237266.60261000015</v>
      </c>
      <c r="S9" s="31">
        <f>+'IS Actual &amp; Forecast'!S46</f>
        <v>161140.48813239767</v>
      </c>
      <c r="T9" s="31">
        <f>+'IS Actual &amp; Forecast'!T46</f>
        <v>67797.717478498816</v>
      </c>
      <c r="U9" s="31">
        <f>+'IS Actual &amp; Forecast'!U46</f>
        <v>77122.465164527268</v>
      </c>
      <c r="V9" s="31">
        <f>+'IS Actual &amp; Forecast'!V46</f>
        <v>41165.317365626812</v>
      </c>
      <c r="W9" s="31">
        <f>SUM(Q9:V9)</f>
        <v>710284.61722626165</v>
      </c>
      <c r="X9" s="31">
        <f>+'IS Actual &amp; Forecast'!W46</f>
        <v>97204.81770344649</v>
      </c>
      <c r="Y9" s="31">
        <f>+'IS Actual &amp; Forecast'!X46</f>
        <v>171818.13780016906</v>
      </c>
      <c r="Z9" s="31">
        <f>+'IS Actual &amp; Forecast'!Y46</f>
        <v>227962.06306323354</v>
      </c>
      <c r="AA9" s="31">
        <f>+'IS Actual &amp; Forecast'!Z46</f>
        <v>195551.16125062638</v>
      </c>
      <c r="AB9" s="31">
        <f>+'IS Actual &amp; Forecast'!AA46</f>
        <v>167234.01682226424</v>
      </c>
      <c r="AC9" s="31">
        <f>+'IS Actual &amp; Forecast'!AB46</f>
        <v>117461.4469193916</v>
      </c>
      <c r="AD9" s="31">
        <f>SUM(Q9:AC9)</f>
        <v>2397800.8780116541</v>
      </c>
      <c r="AF9" s="31">
        <f>+'IS Actual &amp; Forecast'!AE46</f>
        <v>252739.75504584351</v>
      </c>
      <c r="AG9" s="31">
        <f>+'IS Actual &amp; Forecast'!AF46</f>
        <v>367474.97207182692</v>
      </c>
      <c r="AH9" s="31">
        <f>+'IS Actual &amp; Forecast'!AG46</f>
        <v>182000.0086267603</v>
      </c>
      <c r="AI9" s="31">
        <f>+'IS Actual &amp; Forecast'!AH46</f>
        <v>104878.61642240657</v>
      </c>
      <c r="AJ9" s="31">
        <f>+'IS Actual &amp; Forecast'!AI46</f>
        <v>120177.37566109208</v>
      </c>
      <c r="AK9" s="31">
        <f>+'IS Actual &amp; Forecast'!AJ46</f>
        <v>132181.38763106024</v>
      </c>
      <c r="AL9" s="31">
        <f>+'IS Actual &amp; Forecast'!AK46</f>
        <v>184154.93487296515</v>
      </c>
      <c r="AM9" s="31">
        <f>+'IS Actual &amp; Forecast'!AL46</f>
        <v>280095.53656407085</v>
      </c>
      <c r="AN9" s="31">
        <f>+'IS Actual &amp; Forecast'!AM46</f>
        <v>281838.02449152718</v>
      </c>
      <c r="AO9" s="31">
        <f>+'IS Actual &amp; Forecast'!AN46</f>
        <v>233716.47057947097</v>
      </c>
      <c r="AP9" s="31">
        <f>+'IS Actual &amp; Forecast'!AO46</f>
        <v>185722.49424774354</v>
      </c>
      <c r="AQ9" s="31">
        <f>+'IS Actual &amp; Forecast'!AP46</f>
        <v>104874.28703296333</v>
      </c>
      <c r="AR9" s="31">
        <f>SUM(AF9:AQ9)</f>
        <v>2429853.8632477303</v>
      </c>
    </row>
    <row r="11" spans="1:44" x14ac:dyDescent="0.15">
      <c r="A11" t="s">
        <v>174</v>
      </c>
      <c r="C11" s="23">
        <f>+'IS Actual &amp; Forecast'!C33</f>
        <v>5475</v>
      </c>
      <c r="D11" s="23">
        <f>+'IS Actual &amp; Forecast'!D33</f>
        <v>5475</v>
      </c>
      <c r="E11" s="23">
        <f>+'IS Actual &amp; Forecast'!E33</f>
        <v>5475</v>
      </c>
      <c r="F11" s="23">
        <f>+'IS Actual &amp; Forecast'!F33</f>
        <v>5475</v>
      </c>
      <c r="G11" s="23">
        <f>+'IS Actual &amp; Forecast'!G33</f>
        <v>5475</v>
      </c>
      <c r="H11" s="23">
        <f>+'IS Actual &amp; Forecast'!H33</f>
        <v>5475</v>
      </c>
      <c r="I11" s="23">
        <f>+'IS Actual &amp; Forecast'!I33</f>
        <v>5475</v>
      </c>
      <c r="J11" s="23">
        <f>+'IS Actual &amp; Forecast'!J33</f>
        <v>5475</v>
      </c>
      <c r="K11" s="23">
        <f>+'IS Actual &amp; Forecast'!K33</f>
        <v>5475</v>
      </c>
      <c r="L11" s="23">
        <f>+'IS Actual &amp; Forecast'!L33</f>
        <v>5475</v>
      </c>
      <c r="M11" s="23">
        <f>+'IS Actual &amp; Forecast'!M33</f>
        <v>5475</v>
      </c>
      <c r="N11" s="23">
        <f>+'IS Actual &amp; Forecast'!N33</f>
        <v>10350</v>
      </c>
      <c r="O11" s="23">
        <f>SUM(C11:N11)</f>
        <v>70575</v>
      </c>
      <c r="Q11" s="23">
        <f>+'IS Actual &amp; Forecast'!Q33</f>
        <v>5850</v>
      </c>
      <c r="R11" s="23">
        <f>+'IS Actual &amp; Forecast'!R33</f>
        <v>5850</v>
      </c>
      <c r="S11" s="23">
        <f>+'IS Actual &amp; Forecast'!S33</f>
        <v>5850</v>
      </c>
      <c r="T11" s="23">
        <f>+'IS Actual &amp; Forecast'!T33</f>
        <v>5850</v>
      </c>
      <c r="U11" s="23">
        <f>+'IS Actual &amp; Forecast'!U33</f>
        <v>5850</v>
      </c>
      <c r="V11" s="23">
        <f>+'IS Actual &amp; Forecast'!V33</f>
        <v>5850</v>
      </c>
      <c r="W11" s="23">
        <f>SUM(Q11:V11)</f>
        <v>35100</v>
      </c>
      <c r="X11" s="23">
        <f>+'IS Actual &amp; Forecast'!W33</f>
        <v>5850</v>
      </c>
      <c r="Y11" s="23">
        <f>+'IS Actual &amp; Forecast'!X33</f>
        <v>5850</v>
      </c>
      <c r="Z11" s="23">
        <f>+'IS Actual &amp; Forecast'!Y33</f>
        <v>5850</v>
      </c>
      <c r="AA11" s="23">
        <f>+'IS Actual &amp; Forecast'!Z33</f>
        <v>5850</v>
      </c>
      <c r="AB11" s="23">
        <f>+'IS Actual &amp; Forecast'!AA33</f>
        <v>5850</v>
      </c>
      <c r="AC11" s="23">
        <f>+'IS Actual &amp; Forecast'!AB33</f>
        <v>5850</v>
      </c>
      <c r="AD11" s="23">
        <f>SUM(Q11:AC11)</f>
        <v>105300</v>
      </c>
      <c r="AF11" s="23">
        <f>+'IS Actual &amp; Forecast'!AE33</f>
        <v>6000</v>
      </c>
      <c r="AG11" s="23">
        <f>+'IS Actual &amp; Forecast'!AF33</f>
        <v>6000</v>
      </c>
      <c r="AH11" s="23">
        <f>+'IS Actual &amp; Forecast'!AG33</f>
        <v>6000</v>
      </c>
      <c r="AI11" s="23">
        <f>+'IS Actual &amp; Forecast'!AH33</f>
        <v>6000</v>
      </c>
      <c r="AJ11" s="23">
        <f>+'IS Actual &amp; Forecast'!AI33</f>
        <v>6000</v>
      </c>
      <c r="AK11" s="23">
        <f>+'IS Actual &amp; Forecast'!AJ33</f>
        <v>6000</v>
      </c>
      <c r="AL11" s="23">
        <f>+'IS Actual &amp; Forecast'!AK33</f>
        <v>6000</v>
      </c>
      <c r="AM11" s="23">
        <f>+'IS Actual &amp; Forecast'!AL33</f>
        <v>6000</v>
      </c>
      <c r="AN11" s="23">
        <f>+'IS Actual &amp; Forecast'!AM33</f>
        <v>6000</v>
      </c>
      <c r="AO11" s="23">
        <f>+'IS Actual &amp; Forecast'!AN33</f>
        <v>6000</v>
      </c>
      <c r="AP11" s="23">
        <f>+'IS Actual &amp; Forecast'!AO33</f>
        <v>6000</v>
      </c>
      <c r="AQ11" s="23">
        <f>+'IS Actual &amp; Forecast'!AP33</f>
        <v>6000</v>
      </c>
      <c r="AR11" s="23">
        <f>SUM(AF11:AQ11)</f>
        <v>72000</v>
      </c>
    </row>
    <row r="12" spans="1:44" x14ac:dyDescent="0.15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x14ac:dyDescent="0.15">
      <c r="A13" t="s">
        <v>175</v>
      </c>
      <c r="C13" s="23">
        <v>-15679</v>
      </c>
      <c r="D13" s="23">
        <f>+'BS Actual &amp; Forecast'!C11-'BS Actual &amp; Forecast'!D11</f>
        <v>21375.816000000108</v>
      </c>
      <c r="E13" s="23">
        <f>+'BS Actual &amp; Forecast'!D11-'BS Actual &amp; Forecast'!E11</f>
        <v>-43606.66464000009</v>
      </c>
      <c r="F13" s="23">
        <f>+'BS Actual &amp; Forecast'!E11-'BS Actual &amp; Forecast'!F11</f>
        <v>51831.297172800172</v>
      </c>
      <c r="G13" s="23">
        <f>+'BS Actual &amp; Forecast'!F11-'BS Actual &amp; Forecast'!G11</f>
        <v>39743.114152896218</v>
      </c>
      <c r="H13" s="23">
        <f>+'BS Actual &amp; Forecast'!G11-'BS Actual &amp; Forecast'!H11</f>
        <v>-43717.425568185747</v>
      </c>
      <c r="I13" s="23">
        <f>+'BS Actual &amp; Forecast'!H11-'BS Actual &amp; Forecast'!I11</f>
        <v>62297.331434664316</v>
      </c>
      <c r="J13" s="23">
        <f>+'BS Actual &amp; Forecast'!I11-'BS Actual &amp; Forecast'!J11</f>
        <v>-74414.010000000242</v>
      </c>
      <c r="K13" s="23">
        <f>+'BS Actual &amp; Forecast'!J11-'BS Actual &amp; Forecast'!K11</f>
        <v>-42985.158689918462</v>
      </c>
      <c r="L13" s="23">
        <f>+'BS Actual &amp; Forecast'!K11-'BS Actual &amp; Forecast'!L11</f>
        <v>-37826.93964712834</v>
      </c>
      <c r="M13" s="23">
        <f>+'BS Actual &amp; Forecast'!L11-'BS Actual &amp; Forecast'!M11</f>
        <v>53903.38899715757</v>
      </c>
      <c r="N13" s="23">
        <f>+'BS Actual &amp; Forecast'!M11-'BS Actual &amp; Forecast'!N11</f>
        <v>44598.558447015472</v>
      </c>
      <c r="O13" s="35">
        <f t="shared" ref="O13:O18" si="0">SUM(C13:N13)</f>
        <v>15520.307659300976</v>
      </c>
      <c r="Q13" s="23">
        <f>+'BS Actual &amp; Forecast'!N11-'BS Actual &amp; Forecast'!Q11</f>
        <v>64166.251377704553</v>
      </c>
      <c r="R13" s="23">
        <f>+'BS Actual &amp; Forecast'!Q11-'BS Actual &amp; Forecast'!R11</f>
        <v>-76646.430300000124</v>
      </c>
      <c r="S13" s="23">
        <f>+'BS Actual &amp; Forecast'!R11-'BS Actual &amp; Forecast'!S11</f>
        <v>-44274.713450616226</v>
      </c>
      <c r="T13" s="23">
        <f>+'BS Actual &amp; Forecast'!S11-'BS Actual &amp; Forecast'!T11</f>
        <v>-38961.747836542316</v>
      </c>
      <c r="U13" s="23">
        <f>+'BS Actual &amp; Forecast'!T11-'BS Actual &amp; Forecast'!U11</f>
        <v>55520.49066707259</v>
      </c>
      <c r="V13" s="23">
        <f>+'BS Actual &amp; Forecast'!U11-'BS Actual &amp; Forecast'!V11</f>
        <v>245936.82665246399</v>
      </c>
      <c r="W13" s="23">
        <f t="shared" ref="W13:W18" si="1">SUM(Q13:V13)</f>
        <v>205740.67711008247</v>
      </c>
      <c r="X13" s="23">
        <f>+'BS Actual &amp; Forecast'!V11-'BS Actual &amp; Forecast'!W11</f>
        <v>240411.98962096637</v>
      </c>
      <c r="Y13" s="23">
        <f>+'BS Actual &amp; Forecast'!W11-'BS Actual &amp; Forecast'!X11</f>
        <v>-637257.43080268707</v>
      </c>
      <c r="Z13" s="23">
        <f>+'BS Actual &amp; Forecast'!X11-'BS Actual &amp; Forecast'!Y11</f>
        <v>-638073.33135348978</v>
      </c>
      <c r="AA13" s="23">
        <f>+'BS Actual &amp; Forecast'!Y11-'BS Actual &amp; Forecast'!Z11</f>
        <v>-911662.85684260633</v>
      </c>
      <c r="AB13" s="23">
        <f>+'BS Actual &amp; Forecast'!Z11-'BS Actual &amp; Forecast'!AA11</f>
        <v>177590.79506302625</v>
      </c>
      <c r="AC13" s="23">
        <f>+'BS Actual &amp; Forecast'!AA11-'BS Actual &amp; Forecast'!AB11</f>
        <v>44602.215731172822</v>
      </c>
      <c r="AD13" s="35">
        <f t="shared" ref="AD13:AD19" si="2">SUM(Q13:AC13)</f>
        <v>-1312907.2643634528</v>
      </c>
      <c r="AF13" s="23">
        <f>+'BS Actual &amp; Forecast'!AB11-'BS Actual &amp; Forecast'!AE11</f>
        <v>-130414.05253420305</v>
      </c>
      <c r="AG13" s="23">
        <f>+'BS Actual &amp; Forecast'!AE11-'BS Actual &amp; Forecast'!AF11</f>
        <v>-1502265.4722760897</v>
      </c>
      <c r="AH13" s="23">
        <f>+'BS Actual &amp; Forecast'!AF11-'BS Actual &amp; Forecast'!AG11</f>
        <v>1106106.6849849559</v>
      </c>
      <c r="AI13" s="23">
        <f>+'BS Actual &amp; Forecast'!AG11-'BS Actual &amp; Forecast'!AH11</f>
        <v>1607675.242613113</v>
      </c>
      <c r="AJ13" s="23">
        <f>+'BS Actual &amp; Forecast'!AH11-'BS Actual &amp; Forecast'!AI11</f>
        <v>387732.41733038938</v>
      </c>
      <c r="AK13" s="23">
        <f>+'BS Actual &amp; Forecast'!AI11-'BS Actual &amp; Forecast'!AJ11</f>
        <v>-144397.69110941328</v>
      </c>
      <c r="AL13" s="23">
        <f>+'BS Actual &amp; Forecast'!AJ11-'BS Actual &amp; Forecast'!AK11</f>
        <v>-301306.14099108055</v>
      </c>
      <c r="AM13" s="23">
        <f>+'BS Actual &amp; Forecast'!AK11-'BS Actual &amp; Forecast'!AL11</f>
        <v>-700554.60482064961</v>
      </c>
      <c r="AN13" s="23">
        <f>+'BS Actual &amp; Forecast'!AL11-'BS Actual &amp; Forecast'!AM11</f>
        <v>-459610.45689564245</v>
      </c>
      <c r="AO13" s="23">
        <f>+'BS Actual &amp; Forecast'!AM11-'BS Actual &amp; Forecast'!AN11</f>
        <v>228660.93461561669</v>
      </c>
      <c r="AP13" s="23">
        <f>+'BS Actual &amp; Forecast'!AN11-'BS Actual &amp; Forecast'!AO11</f>
        <v>466264.87840860616</v>
      </c>
      <c r="AQ13" s="23">
        <f>+'BS Actual &amp; Forecast'!AO11-'BS Actual &amp; Forecast'!AP11</f>
        <v>622599.46711072791</v>
      </c>
      <c r="AR13" s="35">
        <f t="shared" ref="AR13:AR19" si="3">SUM(AF13:AQ13)</f>
        <v>1180491.2064363305</v>
      </c>
    </row>
    <row r="14" spans="1:44" x14ac:dyDescent="0.15">
      <c r="A14" t="s">
        <v>176</v>
      </c>
      <c r="C14" s="23">
        <v>3425</v>
      </c>
      <c r="D14" s="23">
        <f>+'BS Actual &amp; Forecast'!C12-'BS Actual &amp; Forecast'!D12</f>
        <v>-17912.93380800006</v>
      </c>
      <c r="E14" s="23">
        <f>+'BS Actual &amp; Forecast'!D12-'BS Actual &amp; Forecast'!E12</f>
        <v>37109.271608639974</v>
      </c>
      <c r="F14" s="23">
        <f>+'BS Actual &amp; Forecast'!E12-'BS Actual &amp; Forecast'!F12</f>
        <v>-44678.578162953723</v>
      </c>
      <c r="G14" s="23">
        <f>+'BS Actual &amp; Forecast'!F12-'BS Actual &amp; Forecast'!G12</f>
        <v>-33662.417687502922</v>
      </c>
      <c r="H14" s="23">
        <f>+'BS Actual &amp; Forecast'!G12-'BS Actual &amp; Forecast'!H12</f>
        <v>36810.072328412207</v>
      </c>
      <c r="I14" s="23">
        <f>+'BS Actual &amp; Forecast'!H12-'BS Actual &amp; Forecast'!I12</f>
        <v>-51955.974416510202</v>
      </c>
      <c r="J14" s="23">
        <f>+'BS Actual &amp; Forecast'!I12-'BS Actual &amp; Forecast'!J12</f>
        <v>63623.978550000116</v>
      </c>
      <c r="K14" s="23">
        <f>+'BS Actual &amp; Forecast'!J12-'BS Actual &amp; Forecast'!K12</f>
        <v>36365.444251670968</v>
      </c>
      <c r="L14" s="23">
        <f>+'BS Actual &amp; Forecast'!K12-'BS Actual &amp; Forecast'!L12</f>
        <v>32947.264432648662</v>
      </c>
      <c r="M14" s="23">
        <f>+'BS Actual &amp; Forecast'!L12-'BS Actual &amp; Forecast'!M12</f>
        <v>-45602.267091595568</v>
      </c>
      <c r="N14" s="23">
        <f>+'BS Actual &amp; Forecast'!M12-'BS Actual &amp; Forecast'!N12</f>
        <v>-37507.387653940124</v>
      </c>
      <c r="O14" s="35">
        <f t="shared" si="0"/>
        <v>-21038.527649130672</v>
      </c>
      <c r="Q14" s="23">
        <f>+'BS Actual &amp; Forecast'!N12-'BS Actual &amp; Forecast'!Q12</f>
        <v>-55118.80993344821</v>
      </c>
      <c r="R14" s="23">
        <f>+'BS Actual &amp; Forecast'!Q12-'BS Actual &amp; Forecast'!R12</f>
        <v>64306.35502170003</v>
      </c>
      <c r="S14" s="23">
        <f>+'BS Actual &amp; Forecast'!R12-'BS Actual &amp; Forecast'!S12</f>
        <v>37235.034011968179</v>
      </c>
      <c r="T14" s="23">
        <f>+'BS Actual &amp; Forecast'!S12-'BS Actual &amp; Forecast'!T12</f>
        <v>33974.644113464747</v>
      </c>
      <c r="U14" s="23">
        <f>+'BS Actual &amp; Forecast'!T12-'BS Actual &amp; Forecast'!U12</f>
        <v>-47025.855595010566</v>
      </c>
      <c r="V14" s="23">
        <f>+'BS Actual &amp; Forecast'!U12-'BS Actual &amp; Forecast'!V12</f>
        <v>-39091.974435562734</v>
      </c>
      <c r="W14" s="23">
        <f t="shared" si="1"/>
        <v>-5720.606816888554</v>
      </c>
      <c r="X14" s="23">
        <f>+'BS Actual &amp; Forecast'!V12-'BS Actual &amp; Forecast'!W12</f>
        <v>47278.305809570244</v>
      </c>
      <c r="Y14" s="23">
        <f>+'BS Actual &amp; Forecast'!W12-'BS Actual &amp; Forecast'!X12</f>
        <v>-37714.286781957082</v>
      </c>
      <c r="Z14" s="23">
        <f>+'BS Actual &amp; Forecast'!X12-'BS Actual &amp; Forecast'!Y12</f>
        <v>-37839.232440730178</v>
      </c>
      <c r="AA14" s="23">
        <f>+'BS Actual &amp; Forecast'!Y12-'BS Actual &amp; Forecast'!Z12</f>
        <v>-16800.64799005611</v>
      </c>
      <c r="AB14" s="23">
        <f>+'BS Actual &amp; Forecast'!Z12-'BS Actual &amp; Forecast'!AA12</f>
        <v>7761.6524326493673</v>
      </c>
      <c r="AC14" s="23">
        <f>+'BS Actual &amp; Forecast'!AA12-'BS Actual &amp; Forecast'!AB12</f>
        <v>23099.462432166183</v>
      </c>
      <c r="AD14" s="35">
        <f t="shared" si="2"/>
        <v>-25655.960172134684</v>
      </c>
      <c r="AF14" s="23">
        <f>+'BS Actual &amp; Forecast'!AB12-'BS Actual &amp; Forecast'!AE12</f>
        <v>69041.409854582045</v>
      </c>
      <c r="AG14" s="23">
        <f>+'BS Actual &amp; Forecast'!AE12-'BS Actual &amp; Forecast'!AF12</f>
        <v>-174085.66143523087</v>
      </c>
      <c r="AH14" s="23">
        <f>+'BS Actual &amp; Forecast'!AF12-'BS Actual &amp; Forecast'!AG12</f>
        <v>29918.907201629481</v>
      </c>
      <c r="AI14" s="23">
        <f>+'BS Actual &amp; Forecast'!AG12-'BS Actual &amp; Forecast'!AH12</f>
        <v>88808.13585799915</v>
      </c>
      <c r="AJ14" s="23">
        <f>+'BS Actual &amp; Forecast'!AH12-'BS Actual &amp; Forecast'!AI12</f>
        <v>18474.897085281293</v>
      </c>
      <c r="AK14" s="23">
        <f>+'BS Actual &amp; Forecast'!AI12-'BS Actual &amp; Forecast'!AJ12</f>
        <v>-8563.1188913721417</v>
      </c>
      <c r="AL14" s="23">
        <f>+'BS Actual &amp; Forecast'!AJ12-'BS Actual &amp; Forecast'!AK12</f>
        <v>-17868.154872726882</v>
      </c>
      <c r="AM14" s="23">
        <f>+'BS Actual &amp; Forecast'!AK12-'BS Actual &amp; Forecast'!AL12</f>
        <v>-41544.517262619978</v>
      </c>
      <c r="AN14" s="23">
        <f>+'BS Actual &amp; Forecast'!AL12-'BS Actual &amp; Forecast'!AM12</f>
        <v>-27255.968955439166</v>
      </c>
      <c r="AO14" s="23">
        <f>+'BS Actual &amp; Forecast'!AM12-'BS Actual &amp; Forecast'!AN12</f>
        <v>13560.125192321371</v>
      </c>
      <c r="AP14" s="23">
        <f>+'BS Actual &amp; Forecast'!AN12-'BS Actual &amp; Forecast'!AO12</f>
        <v>27650.591626556939</v>
      </c>
      <c r="AQ14" s="23">
        <f>+'BS Actual &amp; Forecast'!AO12-'BS Actual &amp; Forecast'!AP12</f>
        <v>36921.596305403596</v>
      </c>
      <c r="AR14" s="35">
        <f t="shared" si="3"/>
        <v>15058.241706384841</v>
      </c>
    </row>
    <row r="15" spans="1:44" x14ac:dyDescent="0.15">
      <c r="A15" t="s">
        <v>185</v>
      </c>
      <c r="C15" s="23">
        <v>-11745</v>
      </c>
      <c r="D15" s="23">
        <f>+'BS Actual &amp; Forecast'!C13-'BS Actual &amp; Forecast'!D13</f>
        <v>76326.744500000001</v>
      </c>
      <c r="E15" s="23">
        <f>+'BS Actual &amp; Forecast'!D13-'BS Actual &amp; Forecast'!E13</f>
        <v>-29621.792204999976</v>
      </c>
      <c r="F15" s="23">
        <f>+'BS Actual &amp; Forecast'!E13-'BS Actual &amp; Forecast'!F13</f>
        <v>-86255.425332999992</v>
      </c>
      <c r="G15" s="23">
        <f>+'BS Actual &amp; Forecast'!F13-'BS Actual &amp; Forecast'!G13</f>
        <v>55113.856186799996</v>
      </c>
      <c r="H15" s="23">
        <f>+'BS Actual &amp; Forecast'!G13-'BS Actual &amp; Forecast'!H13</f>
        <v>-43190.443884924025</v>
      </c>
      <c r="I15" s="23">
        <f>+'BS Actual &amp; Forecast'!H13-'BS Actual &amp; Forecast'!I13</f>
        <v>17445.551843714376</v>
      </c>
      <c r="J15" s="23">
        <f>+'BS Actual &amp; Forecast'!I13-'BS Actual &amp; Forecast'!J13</f>
        <v>56953.496215497609</v>
      </c>
      <c r="K15" s="23">
        <f>+'BS Actual &amp; Forecast'!J13-'BS Actual &amp; Forecast'!K13</f>
        <v>19483.441521229426</v>
      </c>
      <c r="L15" s="23">
        <f>+'BS Actual &amp; Forecast'!K13-'BS Actual &amp; Forecast'!L13</f>
        <v>-73517.519340105762</v>
      </c>
      <c r="M15" s="23">
        <f>+'BS Actual &amp; Forecast'!L13-'BS Actual &amp; Forecast'!M13</f>
        <v>-636.45908969349694</v>
      </c>
      <c r="N15" s="23">
        <f>+'BS Actual &amp; Forecast'!M13-'BS Actual &amp; Forecast'!N13</f>
        <v>-28144.22094624638</v>
      </c>
      <c r="O15" s="35">
        <f t="shared" si="0"/>
        <v>-47787.770531728223</v>
      </c>
      <c r="Q15" s="23">
        <f>+'BS Actual &amp; Forecast'!N13-'BS Actual &amp; Forecast'!Q13</f>
        <v>37209.180468932871</v>
      </c>
      <c r="R15" s="23">
        <f>+'BS Actual &amp; Forecast'!Q13-'BS Actual &amp; Forecast'!R13</f>
        <v>-110668.46756913044</v>
      </c>
      <c r="S15" s="23">
        <f>+'BS Actual &amp; Forecast'!R13-'BS Actual &amp; Forecast'!S13</f>
        <v>-17974.341712570167</v>
      </c>
      <c r="T15" s="23">
        <f>+'BS Actual &amp; Forecast'!S13-'BS Actual &amp; Forecast'!T13</f>
        <v>81123.106242023525</v>
      </c>
      <c r="U15" s="23">
        <f>+'BS Actual &amp; Forecast'!T13-'BS Actual &amp; Forecast'!U13</f>
        <v>5109.745862049429</v>
      </c>
      <c r="V15" s="23">
        <f>+'BS Actual &amp; Forecast'!U13-'BS Actual &amp; Forecast'!V13</f>
        <v>26934.554324348544</v>
      </c>
      <c r="W15" s="23">
        <f t="shared" si="1"/>
        <v>21733.777615653758</v>
      </c>
      <c r="X15" s="23">
        <f>+'BS Actual &amp; Forecast'!V13-'BS Actual &amp; Forecast'!W13</f>
        <v>25014.01820661049</v>
      </c>
      <c r="Y15" s="23">
        <f>+'BS Actual &amp; Forecast'!W13-'BS Actual &amp; Forecast'!X13</f>
        <v>-51217.713508234592</v>
      </c>
      <c r="Z15" s="23">
        <f>+'BS Actual &amp; Forecast'!X13-'BS Actual &amp; Forecast'!Y13</f>
        <v>-51283.2891432014</v>
      </c>
      <c r="AA15" s="23">
        <f>+'BS Actual &amp; Forecast'!Y13-'BS Actual &amp; Forecast'!Z13</f>
        <v>-20883.939834434947</v>
      </c>
      <c r="AB15" s="23">
        <f>+'BS Actual &amp; Forecast'!Z13-'BS Actual &amp; Forecast'!AA13</f>
        <v>12275.075754756341</v>
      </c>
      <c r="AC15" s="23">
        <f>+'BS Actual &amp; Forecast'!AA13-'BS Actual &amp; Forecast'!AB13</f>
        <v>30942.535723087785</v>
      </c>
      <c r="AD15" s="35">
        <f t="shared" si="2"/>
        <v>-11685.757570108806</v>
      </c>
      <c r="AF15" s="23">
        <f>+'BS Actual &amp; Forecast'!AB13-'BS Actual &amp; Forecast'!AE13</f>
        <v>-36873.84988291323</v>
      </c>
      <c r="AG15" s="23">
        <f>+'BS Actual &amp; Forecast'!AE13-'BS Actual &amp; Forecast'!AF13</f>
        <v>-103836.58944372332</v>
      </c>
      <c r="AH15" s="23">
        <f>+'BS Actual &amp; Forecast'!AF13-'BS Actual &amp; Forecast'!AG13</f>
        <v>38359.355068608304</v>
      </c>
      <c r="AI15" s="23">
        <f>+'BS Actual &amp; Forecast'!AG13-'BS Actual &amp; Forecast'!AH13</f>
        <v>117617.68746580451</v>
      </c>
      <c r="AJ15" s="23">
        <f>+'BS Actual &amp; Forecast'!AH13-'BS Actual &amp; Forecast'!AI13</f>
        <v>25038.919343816582</v>
      </c>
      <c r="AK15" s="23">
        <f>+'BS Actual &amp; Forecast'!AI13-'BS Actual &amp; Forecast'!AJ13</f>
        <v>-11605.544662189175</v>
      </c>
      <c r="AL15" s="23">
        <f>+'BS Actual &amp; Forecast'!AJ13-'BS Actual &amp; Forecast'!AK13</f>
        <v>-24216.60519221329</v>
      </c>
      <c r="AM15" s="23">
        <f>+'BS Actual &amp; Forecast'!AK13-'BS Actual &amp; Forecast'!AL13</f>
        <v>-56305.039866515552</v>
      </c>
      <c r="AN15" s="23">
        <f>+'BS Actual &amp; Forecast'!AL13-'BS Actual &amp; Forecast'!AM13</f>
        <v>-36939.85439607763</v>
      </c>
      <c r="AO15" s="23">
        <f>+'BS Actual &amp; Forecast'!AM13-'BS Actual &amp; Forecast'!AN13</f>
        <v>18377.957907710865</v>
      </c>
      <c r="AP15" s="23">
        <f>+'BS Actual &amp; Forecast'!AN13-'BS Actual &amp; Forecast'!AO13</f>
        <v>37474.684180933633</v>
      </c>
      <c r="AQ15" s="23">
        <f>+'BS Actual &amp; Forecast'!AO13-'BS Actual &amp; Forecast'!AP13</f>
        <v>50039.622286852915</v>
      </c>
      <c r="AR15" s="35">
        <f t="shared" si="3"/>
        <v>17130.742810094613</v>
      </c>
    </row>
    <row r="16" spans="1:44" x14ac:dyDescent="0.15">
      <c r="A16" t="s">
        <v>184</v>
      </c>
      <c r="C16" s="23">
        <v>1250</v>
      </c>
      <c r="D16" s="23">
        <f>+'BS Actual &amp; Forecast'!C14-'BS Actual &amp; Forecast'!D14</f>
        <v>-1000</v>
      </c>
      <c r="E16" s="23">
        <f>+'BS Actual &amp; Forecast'!D14-'BS Actual &amp; Forecast'!E14</f>
        <v>0</v>
      </c>
      <c r="F16" s="23">
        <f>+'BS Actual &amp; Forecast'!E14-'BS Actual &amp; Forecast'!F14</f>
        <v>0</v>
      </c>
      <c r="G16" s="23">
        <f>+'BS Actual &amp; Forecast'!F14-'BS Actual &amp; Forecast'!G14</f>
        <v>0</v>
      </c>
      <c r="H16" s="23">
        <f>+'BS Actual &amp; Forecast'!G14-'BS Actual &amp; Forecast'!H14</f>
        <v>0</v>
      </c>
      <c r="I16" s="23">
        <f>+'BS Actual &amp; Forecast'!H14-'BS Actual &amp; Forecast'!I14</f>
        <v>0</v>
      </c>
      <c r="J16" s="23">
        <f>+'BS Actual &amp; Forecast'!I14-'BS Actual &amp; Forecast'!J14</f>
        <v>2500</v>
      </c>
      <c r="K16" s="23">
        <f>+'BS Actual &amp; Forecast'!J14-'BS Actual &amp; Forecast'!K14</f>
        <v>0</v>
      </c>
      <c r="L16" s="23">
        <f>+'BS Actual &amp; Forecast'!K14-'BS Actual &amp; Forecast'!L14</f>
        <v>0</v>
      </c>
      <c r="M16" s="23">
        <f>+'BS Actual &amp; Forecast'!L14-'BS Actual &amp; Forecast'!M14</f>
        <v>0</v>
      </c>
      <c r="N16" s="23">
        <f>+'BS Actual &amp; Forecast'!M14-'BS Actual &amp; Forecast'!N14</f>
        <v>0</v>
      </c>
      <c r="O16" s="35">
        <f t="shared" si="0"/>
        <v>2750</v>
      </c>
      <c r="Q16" s="23">
        <f>+'BS Actual &amp; Forecast'!N14-'BS Actual &amp; Forecast'!Q14</f>
        <v>0</v>
      </c>
      <c r="R16" s="23">
        <f>+'BS Actual &amp; Forecast'!Q14-'BS Actual &amp; Forecast'!R14</f>
        <v>0</v>
      </c>
      <c r="S16" s="23">
        <f>+'BS Actual &amp; Forecast'!R14-'BS Actual &amp; Forecast'!S14</f>
        <v>0</v>
      </c>
      <c r="T16" s="23">
        <f>+'BS Actual &amp; Forecast'!S14-'BS Actual &amp; Forecast'!T14</f>
        <v>0</v>
      </c>
      <c r="U16" s="23">
        <f>+'BS Actual &amp; Forecast'!T14-'BS Actual &amp; Forecast'!U14</f>
        <v>0</v>
      </c>
      <c r="V16" s="23">
        <f>+'BS Actual &amp; Forecast'!U14-'BS Actual &amp; Forecast'!V14</f>
        <v>0</v>
      </c>
      <c r="W16" s="23">
        <f t="shared" si="1"/>
        <v>0</v>
      </c>
      <c r="X16" s="23">
        <f>+'BS Actual &amp; Forecast'!V14-'BS Actual &amp; Forecast'!W14</f>
        <v>0</v>
      </c>
      <c r="Y16" s="23">
        <f>+'BS Actual &amp; Forecast'!W14-'BS Actual &amp; Forecast'!X14</f>
        <v>0</v>
      </c>
      <c r="Z16" s="23">
        <f>+'BS Actual &amp; Forecast'!X14-'BS Actual &amp; Forecast'!Y14</f>
        <v>0</v>
      </c>
      <c r="AA16" s="23">
        <f>+'BS Actual &amp; Forecast'!Y14-'BS Actual &amp; Forecast'!Z14</f>
        <v>0</v>
      </c>
      <c r="AB16" s="23">
        <f>+'BS Actual &amp; Forecast'!Z14-'BS Actual &amp; Forecast'!AA14</f>
        <v>0</v>
      </c>
      <c r="AC16" s="23">
        <f>+'BS Actual &amp; Forecast'!AA14-'BS Actual &amp; Forecast'!AB14</f>
        <v>0</v>
      </c>
      <c r="AD16" s="35">
        <f t="shared" si="2"/>
        <v>0</v>
      </c>
      <c r="AF16" s="23">
        <f>+'BS Actual &amp; Forecast'!AB14-'BS Actual &amp; Forecast'!AE14</f>
        <v>0</v>
      </c>
      <c r="AG16" s="23">
        <f>+'BS Actual &amp; Forecast'!AE14-'BS Actual &amp; Forecast'!AF14</f>
        <v>0</v>
      </c>
      <c r="AH16" s="23">
        <f>+'BS Actual &amp; Forecast'!AF14-'BS Actual &amp; Forecast'!AG14</f>
        <v>0</v>
      </c>
      <c r="AI16" s="23">
        <f>+'BS Actual &amp; Forecast'!AG14-'BS Actual &amp; Forecast'!AH14</f>
        <v>0</v>
      </c>
      <c r="AJ16" s="23">
        <f>+'BS Actual &amp; Forecast'!AH14-'BS Actual &amp; Forecast'!AI14</f>
        <v>0</v>
      </c>
      <c r="AK16" s="23">
        <f>+'BS Actual &amp; Forecast'!AI14-'BS Actual &amp; Forecast'!AJ14</f>
        <v>0</v>
      </c>
      <c r="AL16" s="23">
        <f>+'BS Actual &amp; Forecast'!AJ14-'BS Actual &amp; Forecast'!AK14</f>
        <v>0</v>
      </c>
      <c r="AM16" s="23">
        <f>+'BS Actual &amp; Forecast'!AK14-'BS Actual &amp; Forecast'!AL14</f>
        <v>0</v>
      </c>
      <c r="AN16" s="23">
        <f>+'BS Actual &amp; Forecast'!AL14-'BS Actual &amp; Forecast'!AM14</f>
        <v>0</v>
      </c>
      <c r="AO16" s="23">
        <f>+'BS Actual &amp; Forecast'!AM14-'BS Actual &amp; Forecast'!AN14</f>
        <v>0</v>
      </c>
      <c r="AP16" s="23">
        <f>+'BS Actual &amp; Forecast'!AN14-'BS Actual &amp; Forecast'!AO14</f>
        <v>0</v>
      </c>
      <c r="AQ16" s="23">
        <f>+'BS Actual &amp; Forecast'!AO14-'BS Actual &amp; Forecast'!AP14</f>
        <v>0</v>
      </c>
      <c r="AR16" s="35">
        <f t="shared" si="3"/>
        <v>0</v>
      </c>
    </row>
    <row r="17" spans="1:44" x14ac:dyDescent="0.15">
      <c r="A17" t="s">
        <v>186</v>
      </c>
      <c r="C17" s="23">
        <v>-18902</v>
      </c>
      <c r="D17" s="23">
        <f>+'BS Actual &amp; Forecast'!D31-'BS Actual &amp; Forecast'!C31</f>
        <v>129477.56565420562</v>
      </c>
      <c r="E17" s="23">
        <f>+'BS Actual &amp; Forecast'!E31-'BS Actual &amp; Forecast'!D31</f>
        <v>64978.847614486236</v>
      </c>
      <c r="F17" s="23">
        <f>+'BS Actual &amp; Forecast'!F31-'BS Actual &amp; Forecast'!E31</f>
        <v>-370792.07037153607</v>
      </c>
      <c r="G17" s="23">
        <f>+'BS Actual &amp; Forecast'!G31-'BS Actual &amp; Forecast'!F31</f>
        <v>196277.57846143865</v>
      </c>
      <c r="H17" s="23">
        <f>+'BS Actual &amp; Forecast'!H31-'BS Actual &amp; Forecast'!G31</f>
        <v>159366.00823093345</v>
      </c>
      <c r="I17" s="23">
        <f>+'BS Actual &amp; Forecast'!I31-'BS Actual &amp; Forecast'!H31</f>
        <v>-110006.81401496404</v>
      </c>
      <c r="J17" s="23">
        <f>+'BS Actual &amp; Forecast'!J31-'BS Actual &amp; Forecast'!I31</f>
        <v>393834.65996322362</v>
      </c>
      <c r="K17" s="23">
        <f>+'BS Actual &amp; Forecast'!K31-'BS Actual &amp; Forecast'!J31</f>
        <v>-306339.40131926979</v>
      </c>
      <c r="L17" s="23">
        <f>+'BS Actual &amp; Forecast'!L31-'BS Actual &amp; Forecast'!K31</f>
        <v>-173062.719808341</v>
      </c>
      <c r="M17" s="23">
        <f>+'BS Actual &amp; Forecast'!M31-'BS Actual &amp; Forecast'!L31</f>
        <v>-128891.68156349612</v>
      </c>
      <c r="N17" s="23">
        <f>+'BS Actual &amp; Forecast'!N31-'BS Actual &amp; Forecast'!M31</f>
        <v>-273229.59902129997</v>
      </c>
      <c r="O17" s="35">
        <f t="shared" si="0"/>
        <v>-437289.62617461942</v>
      </c>
      <c r="Q17" s="23">
        <f>+'BS Actual &amp; Forecast'!Q31-'BS Actual &amp; Forecast'!N31</f>
        <v>75437</v>
      </c>
      <c r="R17" s="23">
        <f>+'BS Actual &amp; Forecast'!R31-'BS Actual &amp; Forecast'!Q31</f>
        <v>268998</v>
      </c>
      <c r="S17" s="23">
        <f>+'BS Actual &amp; Forecast'!S31-'BS Actual &amp; Forecast'!R31</f>
        <v>167333</v>
      </c>
      <c r="T17" s="23">
        <f>+'BS Actual &amp; Forecast'!T31-'BS Actual &amp; Forecast'!S31</f>
        <v>-155665.79867836041</v>
      </c>
      <c r="U17" s="23">
        <f>+'BS Actual &amp; Forecast'!U31-'BS Actual &amp; Forecast'!T31</f>
        <v>-125285.17865384417</v>
      </c>
      <c r="V17" s="23">
        <f>+'BS Actual &amp; Forecast'!V31-'BS Actual &amp; Forecast'!U31</f>
        <v>-252532.97627001954</v>
      </c>
      <c r="W17" s="23">
        <f t="shared" si="1"/>
        <v>-21715.953602224123</v>
      </c>
      <c r="X17" s="23">
        <f>+'BS Actual &amp; Forecast'!W31-'BS Actual &amp; Forecast'!V31</f>
        <v>27713.023662588559</v>
      </c>
      <c r="Y17" s="23">
        <f>+'BS Actual &amp; Forecast'!X31-'BS Actual &amp; Forecast'!W31</f>
        <v>315122.61806957284</v>
      </c>
      <c r="Z17" s="23">
        <f>+'BS Actual &amp; Forecast'!Y31-'BS Actual &amp; Forecast'!X31</f>
        <v>315543.471339104</v>
      </c>
      <c r="AA17" s="23">
        <f>+'BS Actual &amp; Forecast'!Z31-'BS Actual &amp; Forecast'!Y31</f>
        <v>140224.09959348384</v>
      </c>
      <c r="AB17" s="23">
        <f>+'BS Actual &amp; Forecast'!AA31-'BS Actual &amp; Forecast'!Z31</f>
        <v>-64459.550265631871</v>
      </c>
      <c r="AC17" s="23">
        <f>+'BS Actual &amp; Forecast'!AB31-'BS Actual &amp; Forecast'!AA31</f>
        <v>-192272.42472820706</v>
      </c>
      <c r="AD17" s="35">
        <f t="shared" si="2"/>
        <v>498439.33046646207</v>
      </c>
      <c r="AF17" s="23">
        <f>+'BS Actual &amp; Forecast'!AE31-'BS Actual &amp; Forecast'!AB31</f>
        <v>-601177.48872911022</v>
      </c>
      <c r="AG17" s="23">
        <f>+'BS Actual &amp; Forecast'!AF31-'BS Actual &amp; Forecast'!AE31</f>
        <v>1477777.628014944</v>
      </c>
      <c r="AH17" s="23">
        <f>+'BS Actual &amp; Forecast'!AG31-'BS Actual &amp; Forecast'!AF31</f>
        <v>-247946.3662823285</v>
      </c>
      <c r="AI17" s="23">
        <f>+'BS Actual &amp; Forecast'!AH31-'BS Actual &amp; Forecast'!AG31</f>
        <v>-741344.74378181319</v>
      </c>
      <c r="AJ17" s="23">
        <f>+'BS Actual &amp; Forecast'!AI31-'BS Actual &amp; Forecast'!AH31</f>
        <v>-155304.51161020016</v>
      </c>
      <c r="AK17" s="23">
        <f>+'BS Actual &amp; Forecast'!AJ31-'BS Actual &amp; Forecast'!AI31</f>
        <v>72638.491323572583</v>
      </c>
      <c r="AL17" s="23">
        <f>+'BS Actual &amp; Forecast'!AK31-'BS Actual &amp; Forecast'!AJ31</f>
        <v>148972.92781835538</v>
      </c>
      <c r="AM17" s="23">
        <f>+'BS Actual &amp; Forecast'!AL31-'BS Actual &amp; Forecast'!AK31</f>
        <v>346510.30387712712</v>
      </c>
      <c r="AN17" s="23">
        <f>+'BS Actual &amp; Forecast'!AM31-'BS Actual &amp; Forecast'!AL31</f>
        <v>227356.10499167047</v>
      </c>
      <c r="AO17" s="23">
        <f>+'BS Actual &amp; Forecast'!AN31-'BS Actual &amp; Forecast'!AM31</f>
        <v>-112775.78260270506</v>
      </c>
      <c r="AP17" s="23">
        <f>+'BS Actual &amp; Forecast'!AO31-'BS Actual &amp; Forecast'!AN31</f>
        <v>-230194.08361466788</v>
      </c>
      <c r="AQ17" s="23">
        <f>+'BS Actual &amp; Forecast'!AP31-'BS Actual &amp; Forecast'!AO31</f>
        <v>-307450.18080565729</v>
      </c>
      <c r="AR17" s="35">
        <f t="shared" si="3"/>
        <v>-122937.70140081272</v>
      </c>
    </row>
    <row r="18" spans="1:44" x14ac:dyDescent="0.15">
      <c r="A18" t="s">
        <v>187</v>
      </c>
      <c r="C18" s="23">
        <v>-10000</v>
      </c>
      <c r="D18" s="23">
        <f>+'BS Actual &amp; Forecast'!D32-'BS Actual &amp; Forecast'!C32</f>
        <v>-10000</v>
      </c>
      <c r="E18" s="23">
        <f>+'BS Actual &amp; Forecast'!E32-'BS Actual &amp; Forecast'!D32</f>
        <v>-10000</v>
      </c>
      <c r="F18" s="23">
        <f>+'BS Actual &amp; Forecast'!F32-'BS Actual &amp; Forecast'!E32</f>
        <v>-10000</v>
      </c>
      <c r="G18" s="23">
        <f>+'BS Actual &amp; Forecast'!G32-'BS Actual &amp; Forecast'!F32</f>
        <v>-10000</v>
      </c>
      <c r="H18" s="23">
        <f>+'BS Actual &amp; Forecast'!H32-'BS Actual &amp; Forecast'!G32</f>
        <v>-10000</v>
      </c>
      <c r="I18" s="23">
        <f>+'BS Actual &amp; Forecast'!I32-'BS Actual &amp; Forecast'!H32</f>
        <v>-10000</v>
      </c>
      <c r="J18" s="23">
        <f>+'BS Actual &amp; Forecast'!J32-'BS Actual &amp; Forecast'!I32</f>
        <v>-10000</v>
      </c>
      <c r="K18" s="23">
        <f>+'BS Actual &amp; Forecast'!K32-'BS Actual &amp; Forecast'!J32</f>
        <v>-10000</v>
      </c>
      <c r="L18" s="23">
        <f>+'BS Actual &amp; Forecast'!L32-'BS Actual &amp; Forecast'!K32</f>
        <v>-10000</v>
      </c>
      <c r="M18" s="23">
        <f>+'BS Actual &amp; Forecast'!M32-'BS Actual &amp; Forecast'!L32</f>
        <v>-10000</v>
      </c>
      <c r="N18" s="23">
        <f>+'BS Actual &amp; Forecast'!N32-'BS Actual &amp; Forecast'!M32</f>
        <v>-10000</v>
      </c>
      <c r="O18" s="35">
        <f t="shared" si="0"/>
        <v>-120000</v>
      </c>
      <c r="Q18" s="23">
        <f>+'BS Actual &amp; Forecast'!Q32-'BS Actual &amp; Forecast'!N32</f>
        <v>-10000</v>
      </c>
      <c r="R18" s="23">
        <f>+'BS Actual &amp; Forecast'!R32-'BS Actual &amp; Forecast'!Q32</f>
        <v>-10000</v>
      </c>
      <c r="S18" s="23">
        <f>+'BS Actual &amp; Forecast'!S32-'BS Actual &amp; Forecast'!R32</f>
        <v>-10000</v>
      </c>
      <c r="T18" s="23">
        <f>+'BS Actual &amp; Forecast'!T32-'BS Actual &amp; Forecast'!S32</f>
        <v>-10000</v>
      </c>
      <c r="U18" s="23">
        <f>+'BS Actual &amp; Forecast'!U32-'BS Actual &amp; Forecast'!T32</f>
        <v>-10000</v>
      </c>
      <c r="V18" s="23">
        <f>+'BS Actual &amp; Forecast'!V32-'BS Actual &amp; Forecast'!U32</f>
        <v>-10000</v>
      </c>
      <c r="W18" s="23">
        <f t="shared" si="1"/>
        <v>-60000</v>
      </c>
      <c r="X18" s="23">
        <f>+'BS Actual &amp; Forecast'!W32-'BS Actual &amp; Forecast'!V32</f>
        <v>-10000</v>
      </c>
      <c r="Y18" s="23">
        <f>+'BS Actual &amp; Forecast'!X32-'BS Actual &amp; Forecast'!W32</f>
        <v>-10000</v>
      </c>
      <c r="Z18" s="23">
        <f>+'BS Actual &amp; Forecast'!Y32-'BS Actual &amp; Forecast'!X32</f>
        <v>-10000</v>
      </c>
      <c r="AA18" s="23">
        <f>+'BS Actual &amp; Forecast'!Z32-'BS Actual &amp; Forecast'!Y32</f>
        <v>-10000</v>
      </c>
      <c r="AB18" s="23">
        <f>+'BS Actual &amp; Forecast'!AA32-'BS Actual &amp; Forecast'!Z32</f>
        <v>-10000</v>
      </c>
      <c r="AC18" s="23">
        <f>+'BS Actual &amp; Forecast'!AB32-'BS Actual &amp; Forecast'!AA32</f>
        <v>-10000</v>
      </c>
      <c r="AD18" s="35">
        <f t="shared" si="2"/>
        <v>-180000</v>
      </c>
      <c r="AF18" s="23">
        <f>+'BS Actual &amp; Forecast'!AE32-'BS Actual &amp; Forecast'!AB32</f>
        <v>-10000</v>
      </c>
      <c r="AG18" s="23">
        <f>+'BS Actual &amp; Forecast'!AF32-'BS Actual &amp; Forecast'!AE32</f>
        <v>-10000</v>
      </c>
      <c r="AH18" s="23">
        <f>+'BS Actual &amp; Forecast'!AG32-'BS Actual &amp; Forecast'!AF32</f>
        <v>-10000</v>
      </c>
      <c r="AI18" s="23">
        <f>+'BS Actual &amp; Forecast'!AH32-'BS Actual &amp; Forecast'!AG32</f>
        <v>-10000</v>
      </c>
      <c r="AJ18" s="23">
        <f>+'BS Actual &amp; Forecast'!AI32-'BS Actual &amp; Forecast'!AH32</f>
        <v>-10000</v>
      </c>
      <c r="AK18" s="23">
        <f>+'BS Actual &amp; Forecast'!AJ32-'BS Actual &amp; Forecast'!AI32</f>
        <v>-10000</v>
      </c>
      <c r="AL18" s="23">
        <f>+'BS Actual &amp; Forecast'!AK32-'BS Actual &amp; Forecast'!AJ32</f>
        <v>-31375</v>
      </c>
      <c r="AM18" s="23">
        <f>+'BS Actual &amp; Forecast'!AL32-'BS Actual &amp; Forecast'!AK32</f>
        <v>-31375</v>
      </c>
      <c r="AN18" s="23">
        <f>+'BS Actual &amp; Forecast'!AM32-'BS Actual &amp; Forecast'!AL32</f>
        <v>-31375</v>
      </c>
      <c r="AO18" s="23">
        <f>+'BS Actual &amp; Forecast'!AN32-'BS Actual &amp; Forecast'!AM32</f>
        <v>-31375</v>
      </c>
      <c r="AP18" s="23">
        <f>+'BS Actual &amp; Forecast'!AO32-'BS Actual &amp; Forecast'!AN32</f>
        <v>-31375</v>
      </c>
      <c r="AQ18" s="23">
        <f>+'BS Actual &amp; Forecast'!AP32-'BS Actual &amp; Forecast'!AO32</f>
        <v>-31375</v>
      </c>
      <c r="AR18" s="35">
        <f t="shared" si="3"/>
        <v>-248250</v>
      </c>
    </row>
    <row r="19" spans="1:44" x14ac:dyDescent="0.15">
      <c r="A19" t="s">
        <v>188</v>
      </c>
      <c r="C19" s="24">
        <v>35024</v>
      </c>
      <c r="D19" s="24">
        <f>+'BS Actual &amp; Forecast'!D33-'BS Actual &amp; Forecast'!C33</f>
        <v>-101898.15000000002</v>
      </c>
      <c r="E19" s="24">
        <f>+'BS Actual &amp; Forecast'!E33-'BS Actual &amp; Forecast'!D33</f>
        <v>-17322.685500000021</v>
      </c>
      <c r="F19" s="24">
        <f>+'BS Actual &amp; Forecast'!F33-'BS Actual &amp; Forecast'!E33</f>
        <v>112020.03289999999</v>
      </c>
      <c r="G19" s="24">
        <f>+'BS Actual &amp; Forecast'!G33-'BS Actual &amp; Forecast'!F33</f>
        <v>-67212.019740000018</v>
      </c>
      <c r="H19" s="24">
        <f>+'BS Actual &amp; Forecast'!H33-'BS Actual &amp; Forecast'!G33</f>
        <v>18147.245329800062</v>
      </c>
      <c r="I19" s="24">
        <f>+'BS Actual &amp; Forecast'!I33-'BS Actual &amp; Forecast'!H33</f>
        <v>62305.542298980057</v>
      </c>
      <c r="J19" s="24">
        <f>+'BS Actual &amp; Forecast'!J33-'BS Actual &amp; Forecast'!I33</f>
        <v>20560.828958663391</v>
      </c>
      <c r="K19" s="24">
        <f>+'BS Actual &amp; Forecast'!K33-'BS Actual &amp; Forecast'!J33</f>
        <v>-56473.743539795396</v>
      </c>
      <c r="L19" s="24">
        <f>+'BS Actual &amp; Forecast'!L33-'BS Actual &amp; Forecast'!K33</f>
        <v>-12988.96101415297</v>
      </c>
      <c r="M19" s="24">
        <f>+'BS Actual &amp; Forecast'!M33-'BS Actual &amp; Forecast'!L33</f>
        <v>63645.908969349577</v>
      </c>
      <c r="N19" s="24">
        <f>+'BS Actual &amp; Forecast'!N33-'BS Actual &amp; Forecast'!M33</f>
        <v>21003.149959885399</v>
      </c>
      <c r="O19" s="24">
        <f>SUM(C19:N19)+1</f>
        <v>76812.148622730048</v>
      </c>
      <c r="Q19" s="24">
        <f>+'BS Actual &amp; Forecast'!Q33-'BS Actual &amp; Forecast'!N33</f>
        <v>21633.244458681904</v>
      </c>
      <c r="R19" s="24">
        <f>+'BS Actual &amp; Forecast'!R33-'BS Actual &amp; Forecast'!Q33</f>
        <v>74274.139308141312</v>
      </c>
      <c r="S19" s="24">
        <f>+'BS Actual &amp; Forecast'!S33-'BS Actual &amp; Forecast'!R33</f>
        <v>24510.465971686644</v>
      </c>
      <c r="T19" s="24">
        <f>+'BS Actual &amp; Forecast'!T33-'BS Actual &amp; Forecast'!S33</f>
        <v>-67322.079868899193</v>
      </c>
      <c r="U19" s="24">
        <f>+'BS Actual &amp; Forecast'!U33-'BS Actual &amp; Forecast'!T33</f>
        <v>-15484.0783698468</v>
      </c>
      <c r="V19" s="24">
        <f>+'BS Actual &amp; Forecast'!V33-'BS Actual &amp; Forecast'!U33</f>
        <v>-37935.992006124696</v>
      </c>
      <c r="W19" s="24">
        <f>SUM(Q19:V19)-0.5</f>
        <v>-324.80050636082888</v>
      </c>
      <c r="X19" s="24">
        <f>+'BS Actual &amp; Forecast'!W33-'BS Actual &amp; Forecast'!V33</f>
        <v>-100693.30214929429</v>
      </c>
      <c r="Y19" s="24">
        <f>+'BS Actual &amp; Forecast'!X33-'BS Actual &amp; Forecast'!W33</f>
        <v>160055.35471323307</v>
      </c>
      <c r="Z19" s="24">
        <f>+'BS Actual &amp; Forecast'!Y33-'BS Actual &amp; Forecast'!X33</f>
        <v>160260.27857250429</v>
      </c>
      <c r="AA19" s="24">
        <f>+'BS Actual &amp; Forecast'!Z33-'BS Actual &amp; Forecast'!Y33</f>
        <v>65262.311982609332</v>
      </c>
      <c r="AB19" s="24">
        <f>+'BS Actual &amp; Forecast'!AA33-'BS Actual &amp; Forecast'!Z33</f>
        <v>-38359.611733613652</v>
      </c>
      <c r="AC19" s="24">
        <f>+'BS Actual &amp; Forecast'!AB33-'BS Actual &amp; Forecast'!AA33</f>
        <v>-96695.42413464922</v>
      </c>
      <c r="AD19" s="24">
        <f t="shared" si="2"/>
        <v>149180.50623806787</v>
      </c>
      <c r="AF19" s="24">
        <f>+'BS Actual &amp; Forecast'!AE33-'BS Actual &amp; Forecast'!AB33</f>
        <v>115230.78088410373</v>
      </c>
      <c r="AG19" s="24">
        <f>+'BS Actual &amp; Forecast'!AF33-'BS Actual &amp; Forecast'!AE33</f>
        <v>324489.34201163542</v>
      </c>
      <c r="AH19" s="24">
        <f>+'BS Actual &amp; Forecast'!AG33-'BS Actual &amp; Forecast'!AF33</f>
        <v>-119872.98458940093</v>
      </c>
      <c r="AI19" s="24">
        <f>+'BS Actual &amp; Forecast'!AH33-'BS Actual &amp; Forecast'!AG33</f>
        <v>-367555.27333063912</v>
      </c>
      <c r="AJ19" s="24">
        <f>+'BS Actual &amp; Forecast'!AI33-'BS Actual &amp; Forecast'!AH33</f>
        <v>-78246.622949426761</v>
      </c>
      <c r="AK19" s="24">
        <f>+'BS Actual &amp; Forecast'!AJ33-'BS Actual &amp; Forecast'!AI33</f>
        <v>36267.327069341089</v>
      </c>
      <c r="AL19" s="24">
        <f>+'BS Actual &amp; Forecast'!AK33-'BS Actual &amp; Forecast'!AJ33</f>
        <v>75676.891225666623</v>
      </c>
      <c r="AM19" s="24">
        <f>+'BS Actual &amp; Forecast'!AL33-'BS Actual &amp; Forecast'!AK33</f>
        <v>175953.24958286097</v>
      </c>
      <c r="AN19" s="24">
        <f>+'BS Actual &amp; Forecast'!AM33-'BS Actual &amp; Forecast'!AL33</f>
        <v>115437.04498774267</v>
      </c>
      <c r="AO19" s="24">
        <f>+'BS Actual &amp; Forecast'!AN33-'BS Actual &amp; Forecast'!AM33</f>
        <v>-57431.118461596547</v>
      </c>
      <c r="AP19" s="24">
        <f>+'BS Actual &amp; Forecast'!AO33-'BS Actual &amp; Forecast'!AN33</f>
        <v>-117108.38806541753</v>
      </c>
      <c r="AQ19" s="24">
        <f>+'BS Actual &amp; Forecast'!AP33-'BS Actual &amp; Forecast'!AO33</f>
        <v>-156373.8196464153</v>
      </c>
      <c r="AR19" s="24">
        <f t="shared" si="3"/>
        <v>-53533.571281545679</v>
      </c>
    </row>
    <row r="20" spans="1:44" x14ac:dyDescent="0.15"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4" x14ac:dyDescent="0.15">
      <c r="A21" t="s">
        <v>177</v>
      </c>
      <c r="C21" s="24">
        <f>SUM(C9:C19)</f>
        <v>101566.38900000005</v>
      </c>
      <c r="D21" s="24">
        <f>SUM(D9:D19)</f>
        <v>276694.03654620581</v>
      </c>
      <c r="E21" s="24">
        <f t="shared" ref="E21:O21" si="4">SUM(E9:E19)</f>
        <v>136884.45058898345</v>
      </c>
      <c r="F21" s="24">
        <f t="shared" si="4"/>
        <v>-276515.13262563106</v>
      </c>
      <c r="G21" s="24">
        <f t="shared" si="4"/>
        <v>293421.16244376323</v>
      </c>
      <c r="H21" s="24">
        <f t="shared" si="4"/>
        <v>290605.95808210247</v>
      </c>
      <c r="I21" s="24">
        <f t="shared" si="4"/>
        <v>150352.78020981824</v>
      </c>
      <c r="J21" s="24">
        <f t="shared" si="4"/>
        <v>641305.05142606725</v>
      </c>
      <c r="K21" s="24">
        <f t="shared" si="4"/>
        <v>-209420.67827523724</v>
      </c>
      <c r="L21" s="24">
        <f t="shared" si="4"/>
        <v>-208470.23949825543</v>
      </c>
      <c r="M21" s="24">
        <f t="shared" si="4"/>
        <v>48832.329211096105</v>
      </c>
      <c r="N21" s="24">
        <f t="shared" si="4"/>
        <v>-208253.61087233591</v>
      </c>
      <c r="O21" s="24">
        <f t="shared" si="4"/>
        <v>1037003.4962365769</v>
      </c>
      <c r="Q21" s="24">
        <f t="shared" ref="Q21:AD21" si="5">SUM(Q9:Q19)</f>
        <v>264968.892847082</v>
      </c>
      <c r="R21" s="24">
        <f t="shared" si="5"/>
        <v>453380.19907071092</v>
      </c>
      <c r="S21" s="24">
        <f t="shared" si="5"/>
        <v>323819.93295286607</v>
      </c>
      <c r="T21" s="24">
        <f t="shared" si="5"/>
        <v>-83204.158549814834</v>
      </c>
      <c r="U21" s="24">
        <f t="shared" si="5"/>
        <v>-54192.410925052245</v>
      </c>
      <c r="V21" s="24">
        <f t="shared" si="5"/>
        <v>-19674.244369267602</v>
      </c>
      <c r="W21" s="24">
        <f t="shared" si="5"/>
        <v>885097.71102652443</v>
      </c>
      <c r="X21" s="24">
        <f t="shared" si="5"/>
        <v>332778.85285388783</v>
      </c>
      <c r="Y21" s="24">
        <f t="shared" si="5"/>
        <v>-83343.320509903715</v>
      </c>
      <c r="Z21" s="24">
        <f t="shared" si="5"/>
        <v>-27580.039962579613</v>
      </c>
      <c r="AA21" s="24">
        <f t="shared" si="5"/>
        <v>-552459.8718403778</v>
      </c>
      <c r="AB21" s="24">
        <f t="shared" si="5"/>
        <v>257892.37807345064</v>
      </c>
      <c r="AC21" s="24">
        <f t="shared" si="5"/>
        <v>-77012.188057037885</v>
      </c>
      <c r="AD21" s="24">
        <f t="shared" si="5"/>
        <v>1620471.7326104878</v>
      </c>
      <c r="AF21" s="24">
        <f t="shared" ref="AF21:AR21" si="6">SUM(AF9:AF19)</f>
        <v>-335453.44536169723</v>
      </c>
      <c r="AG21" s="24">
        <f t="shared" si="6"/>
        <v>385554.21894336236</v>
      </c>
      <c r="AH21" s="24">
        <f t="shared" si="6"/>
        <v>984565.60501022427</v>
      </c>
      <c r="AI21" s="24">
        <f t="shared" si="6"/>
        <v>806079.66524687107</v>
      </c>
      <c r="AJ21" s="24">
        <f t="shared" si="6"/>
        <v>313872.47486095247</v>
      </c>
      <c r="AK21" s="24">
        <f t="shared" si="6"/>
        <v>72520.85136099931</v>
      </c>
      <c r="AL21" s="24">
        <f t="shared" si="6"/>
        <v>40038.852860966435</v>
      </c>
      <c r="AM21" s="24">
        <f t="shared" si="6"/>
        <v>-21220.071925726195</v>
      </c>
      <c r="AN21" s="24">
        <f t="shared" si="6"/>
        <v>75449.89422378107</v>
      </c>
      <c r="AO21" s="24">
        <f t="shared" si="6"/>
        <v>298733.58723081829</v>
      </c>
      <c r="AP21" s="24">
        <f t="shared" si="6"/>
        <v>344435.17678375484</v>
      </c>
      <c r="AQ21" s="24">
        <f t="shared" si="6"/>
        <v>325235.97228387522</v>
      </c>
      <c r="AR21" s="24">
        <f t="shared" si="6"/>
        <v>3289812.7815181818</v>
      </c>
    </row>
    <row r="22" spans="1:44" x14ac:dyDescent="0.15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4" x14ac:dyDescent="0.15">
      <c r="A23" s="54" t="s">
        <v>192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x14ac:dyDescent="0.15">
      <c r="A24" s="54" t="s">
        <v>189</v>
      </c>
      <c r="C24" s="23">
        <v>-23540</v>
      </c>
      <c r="D24" s="23">
        <f>+'BS Actual &amp; Forecast'!C20-'BS Actual &amp; Forecast'!D20</f>
        <v>0</v>
      </c>
      <c r="E24" s="23">
        <f>+'BS Actual &amp; Forecast'!D20-'BS Actual &amp; Forecast'!E20</f>
        <v>-15545</v>
      </c>
      <c r="F24" s="23">
        <f>+'BS Actual &amp; Forecast'!E20-'BS Actual &amp; Forecast'!F20</f>
        <v>0</v>
      </c>
      <c r="G24" s="23">
        <f>+'BS Actual &amp; Forecast'!F20-'BS Actual &amp; Forecast'!G20</f>
        <v>-3590</v>
      </c>
      <c r="H24" s="23">
        <f>+'BS Actual &amp; Forecast'!G20-'BS Actual &amp; Forecast'!H20</f>
        <v>0</v>
      </c>
      <c r="I24" s="23">
        <f>+'BS Actual &amp; Forecast'!H20-'BS Actual &amp; Forecast'!I20</f>
        <v>0</v>
      </c>
      <c r="J24" s="23">
        <f>+'BS Actual &amp; Forecast'!I20-'BS Actual &amp; Forecast'!J20</f>
        <v>-23989</v>
      </c>
      <c r="K24" s="23">
        <f>+'BS Actual &amp; Forecast'!J20-'BS Actual &amp; Forecast'!K20</f>
        <v>0</v>
      </c>
      <c r="L24" s="23">
        <f>+'BS Actual &amp; Forecast'!K20-'BS Actual &amp; Forecast'!L20</f>
        <v>-4470</v>
      </c>
      <c r="M24" s="23">
        <f>+'BS Actual &amp; Forecast'!L20-'BS Actual &amp; Forecast'!M20</f>
        <v>0</v>
      </c>
      <c r="N24" s="23">
        <f>+'BS Actual &amp; Forecast'!M20-'BS Actual &amp; Forecast'!N20</f>
        <v>0</v>
      </c>
      <c r="O24" s="35">
        <f t="shared" ref="O24" si="7">SUM(C24:N24)</f>
        <v>-71134</v>
      </c>
      <c r="Q24" s="23">
        <f>+'BS Actual &amp; Forecast'!N20-'BS Actual &amp; Forecast'!Q20</f>
        <v>-11250</v>
      </c>
      <c r="R24" s="23">
        <f>+'BS Actual &amp; Forecast'!Q20-'BS Actual &amp; Forecast'!R20</f>
        <v>0</v>
      </c>
      <c r="S24" s="23">
        <f>+'BS Actual &amp; Forecast'!R20-'BS Actual &amp; Forecast'!S20</f>
        <v>-18752</v>
      </c>
      <c r="T24" s="23">
        <f>+'BS Actual &amp; Forecast'!S20-'BS Actual &amp; Forecast'!T20</f>
        <v>0</v>
      </c>
      <c r="U24" s="23">
        <f>+'BS Actual &amp; Forecast'!T20-'BS Actual &amp; Forecast'!U20</f>
        <v>0</v>
      </c>
      <c r="V24" s="23">
        <f>+'BS Actual &amp; Forecast'!U20-'BS Actual &amp; Forecast'!V20</f>
        <v>0</v>
      </c>
      <c r="W24" s="35">
        <f>SUM(Q24:V24)</f>
        <v>-30002</v>
      </c>
      <c r="X24" s="23">
        <f>+'BS Actual &amp; Forecast'!V20-'BS Actual &amp; Forecast'!W20</f>
        <v>-25000</v>
      </c>
      <c r="Y24" s="23">
        <f>+'BS Actual &amp; Forecast'!W20-'BS Actual &amp; Forecast'!X20</f>
        <v>0</v>
      </c>
      <c r="Z24" s="23">
        <f>+'BS Actual &amp; Forecast'!X20-'BS Actual &amp; Forecast'!Y20</f>
        <v>0</v>
      </c>
      <c r="AA24" s="23">
        <f>+'BS Actual &amp; Forecast'!Y20-'BS Actual &amp; Forecast'!Z20</f>
        <v>-15000</v>
      </c>
      <c r="AB24" s="23">
        <f>+'BS Actual &amp; Forecast'!Z20-'BS Actual &amp; Forecast'!AA20</f>
        <v>0</v>
      </c>
      <c r="AC24" s="23">
        <f>+'BS Actual &amp; Forecast'!AA20-'BS Actual &amp; Forecast'!AB20</f>
        <v>0</v>
      </c>
      <c r="AD24" s="35">
        <f t="shared" ref="AD24" si="8">SUM(Q24:AC24)</f>
        <v>-100004</v>
      </c>
      <c r="AF24" s="23">
        <v>-15000</v>
      </c>
      <c r="AG24" s="23">
        <f>+'BS Actual &amp; Forecast'!AE20-'BS Actual &amp; Forecast'!AF20</f>
        <v>0</v>
      </c>
      <c r="AH24" s="23">
        <v>-10000</v>
      </c>
      <c r="AI24" s="23">
        <f>+'BS Actual &amp; Forecast'!AG20-'BS Actual &amp; Forecast'!AH20</f>
        <v>0</v>
      </c>
      <c r="AJ24" s="23">
        <f>+'BS Actual &amp; Forecast'!AH20-'BS Actual &amp; Forecast'!AI20</f>
        <v>0</v>
      </c>
      <c r="AK24" s="23">
        <v>-25000</v>
      </c>
      <c r="AL24" s="23">
        <f>+'BS Actual &amp; Forecast'!AJ20-'BS Actual &amp; Forecast'!AK20</f>
        <v>0</v>
      </c>
      <c r="AM24" s="23">
        <f>+'BS Actual &amp; Forecast'!AK20-'BS Actual &amp; Forecast'!AL20</f>
        <v>0</v>
      </c>
      <c r="AN24" s="23">
        <v>-50000</v>
      </c>
      <c r="AO24" s="23">
        <f>+'BS Actual &amp; Forecast'!AM20-'BS Actual &amp; Forecast'!AN20</f>
        <v>0</v>
      </c>
      <c r="AP24" s="23">
        <f>+'BS Actual &amp; Forecast'!AN20-'BS Actual &amp; Forecast'!AO20</f>
        <v>0</v>
      </c>
      <c r="AQ24" s="23">
        <f>+'BS Actual &amp; Forecast'!AO20-'BS Actual &amp; Forecast'!AP20</f>
        <v>0</v>
      </c>
      <c r="AR24" s="35">
        <f t="shared" ref="AR24" si="9">SUM(AF24:AQ24)</f>
        <v>-100000</v>
      </c>
    </row>
    <row r="25" spans="1:44" x14ac:dyDescent="0.1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</row>
    <row r="26" spans="1:44" x14ac:dyDescent="0.1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x14ac:dyDescent="0.15">
      <c r="A27" s="54" t="s">
        <v>190</v>
      </c>
      <c r="C27" s="24">
        <f>SUM(C24:C25)</f>
        <v>-23540</v>
      </c>
      <c r="D27" s="24">
        <f>SUM(D24:D25)</f>
        <v>0</v>
      </c>
      <c r="E27" s="24">
        <f t="shared" ref="E27:O27" si="10">SUM(E24:E25)</f>
        <v>-15545</v>
      </c>
      <c r="F27" s="24">
        <f t="shared" si="10"/>
        <v>0</v>
      </c>
      <c r="G27" s="24">
        <f t="shared" si="10"/>
        <v>-3590</v>
      </c>
      <c r="H27" s="24">
        <f t="shared" si="10"/>
        <v>0</v>
      </c>
      <c r="I27" s="24">
        <f t="shared" si="10"/>
        <v>0</v>
      </c>
      <c r="J27" s="24">
        <f t="shared" si="10"/>
        <v>-23989</v>
      </c>
      <c r="K27" s="24">
        <f t="shared" si="10"/>
        <v>0</v>
      </c>
      <c r="L27" s="24">
        <f t="shared" si="10"/>
        <v>-4470</v>
      </c>
      <c r="M27" s="24">
        <f t="shared" si="10"/>
        <v>0</v>
      </c>
      <c r="N27" s="24">
        <f t="shared" si="10"/>
        <v>0</v>
      </c>
      <c r="O27" s="24">
        <f t="shared" si="10"/>
        <v>-71134</v>
      </c>
      <c r="Q27" s="24">
        <f t="shared" ref="Q27:AD27" si="11">SUM(Q24:Q25)</f>
        <v>-11250</v>
      </c>
      <c r="R27" s="24">
        <f t="shared" si="11"/>
        <v>0</v>
      </c>
      <c r="S27" s="24">
        <f t="shared" si="11"/>
        <v>-18752</v>
      </c>
      <c r="T27" s="24">
        <f t="shared" si="11"/>
        <v>0</v>
      </c>
      <c r="U27" s="24">
        <f t="shared" si="11"/>
        <v>0</v>
      </c>
      <c r="V27" s="24">
        <f t="shared" si="11"/>
        <v>0</v>
      </c>
      <c r="W27" s="24">
        <f t="shared" si="11"/>
        <v>-30002</v>
      </c>
      <c r="X27" s="24">
        <f t="shared" si="11"/>
        <v>-25000</v>
      </c>
      <c r="Y27" s="24">
        <f t="shared" si="11"/>
        <v>0</v>
      </c>
      <c r="Z27" s="24">
        <f t="shared" si="11"/>
        <v>0</v>
      </c>
      <c r="AA27" s="24">
        <f t="shared" si="11"/>
        <v>-15000</v>
      </c>
      <c r="AB27" s="24">
        <f t="shared" si="11"/>
        <v>0</v>
      </c>
      <c r="AC27" s="24">
        <f t="shared" si="11"/>
        <v>0</v>
      </c>
      <c r="AD27" s="24">
        <f t="shared" si="11"/>
        <v>-100004</v>
      </c>
      <c r="AF27" s="24">
        <f t="shared" ref="AF27:AR27" si="12">SUM(AF24:AF25)</f>
        <v>-15000</v>
      </c>
      <c r="AG27" s="24">
        <f t="shared" si="12"/>
        <v>0</v>
      </c>
      <c r="AH27" s="24">
        <f t="shared" si="12"/>
        <v>-10000</v>
      </c>
      <c r="AI27" s="24">
        <f t="shared" si="12"/>
        <v>0</v>
      </c>
      <c r="AJ27" s="24">
        <f t="shared" si="12"/>
        <v>0</v>
      </c>
      <c r="AK27" s="24">
        <f t="shared" si="12"/>
        <v>-25000</v>
      </c>
      <c r="AL27" s="24">
        <f t="shared" si="12"/>
        <v>0</v>
      </c>
      <c r="AM27" s="24">
        <f t="shared" si="12"/>
        <v>0</v>
      </c>
      <c r="AN27" s="24">
        <f t="shared" si="12"/>
        <v>-50000</v>
      </c>
      <c r="AO27" s="24">
        <f t="shared" si="12"/>
        <v>0</v>
      </c>
      <c r="AP27" s="24">
        <f t="shared" si="12"/>
        <v>0</v>
      </c>
      <c r="AQ27" s="24">
        <f t="shared" si="12"/>
        <v>0</v>
      </c>
      <c r="AR27" s="24">
        <f t="shared" si="12"/>
        <v>-100000</v>
      </c>
    </row>
    <row r="28" spans="1:44" x14ac:dyDescent="0.1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1:44" x14ac:dyDescent="0.15">
      <c r="A29" s="54" t="s">
        <v>191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</row>
    <row r="30" spans="1:44" x14ac:dyDescent="0.15">
      <c r="A30" s="54" t="s">
        <v>193</v>
      </c>
      <c r="C30" s="23">
        <v>-5000</v>
      </c>
      <c r="D30" s="23">
        <f>+'BS Actual &amp; Forecast'!D37-'BS Actual &amp; Forecast'!C37</f>
        <v>-5000</v>
      </c>
      <c r="E30" s="23">
        <f>+'BS Actual &amp; Forecast'!E37-'BS Actual &amp; Forecast'!D37</f>
        <v>-5000</v>
      </c>
      <c r="F30" s="23">
        <f>+'BS Actual &amp; Forecast'!F37-'BS Actual &amp; Forecast'!E37</f>
        <v>-5000</v>
      </c>
      <c r="G30" s="23">
        <f>+'BS Actual &amp; Forecast'!G37-'BS Actual &amp; Forecast'!F37</f>
        <v>-5000</v>
      </c>
      <c r="H30" s="23">
        <f>+'BS Actual &amp; Forecast'!H37-'BS Actual &amp; Forecast'!G37</f>
        <v>-5000</v>
      </c>
      <c r="I30" s="23">
        <f>+'BS Actual &amp; Forecast'!I37-'BS Actual &amp; Forecast'!H37</f>
        <v>-5000</v>
      </c>
      <c r="J30" s="23">
        <f>+'BS Actual &amp; Forecast'!J37-'BS Actual &amp; Forecast'!I37</f>
        <v>-5000</v>
      </c>
      <c r="K30" s="23">
        <f>+'BS Actual &amp; Forecast'!K37-'BS Actual &amp; Forecast'!J37</f>
        <v>-5000</v>
      </c>
      <c r="L30" s="23">
        <f>+'BS Actual &amp; Forecast'!L37-'BS Actual &amp; Forecast'!K37</f>
        <v>-5000</v>
      </c>
      <c r="M30" s="23">
        <f>+'BS Actual &amp; Forecast'!M37-'BS Actual &amp; Forecast'!L37</f>
        <v>-5000</v>
      </c>
      <c r="N30" s="23">
        <f>+'BS Actual &amp; Forecast'!N37-'BS Actual &amp; Forecast'!M37</f>
        <v>-5000</v>
      </c>
      <c r="O30" s="35">
        <f t="shared" ref="O30:O31" si="13">SUM(C30:N30)</f>
        <v>-60000</v>
      </c>
      <c r="Q30" s="23">
        <f>+'BS Actual &amp; Forecast'!Q37-'BS Actual &amp; Forecast'!N37</f>
        <v>-5000</v>
      </c>
      <c r="R30" s="23">
        <f>+'BS Actual &amp; Forecast'!R37-'BS Actual &amp; Forecast'!Q37</f>
        <v>-5000</v>
      </c>
      <c r="S30" s="23">
        <f>+'BS Actual &amp; Forecast'!S37-'BS Actual &amp; Forecast'!R37</f>
        <v>-5000</v>
      </c>
      <c r="T30" s="23">
        <f>+'BS Actual &amp; Forecast'!T37-'BS Actual &amp; Forecast'!S37</f>
        <v>-5000</v>
      </c>
      <c r="U30" s="23">
        <f>+'BS Actual &amp; Forecast'!U37-'BS Actual &amp; Forecast'!T37</f>
        <v>-5000</v>
      </c>
      <c r="V30" s="23">
        <f>+'BS Actual &amp; Forecast'!V37-'BS Actual &amp; Forecast'!U37</f>
        <v>-5000</v>
      </c>
      <c r="W30" s="35">
        <f t="shared" ref="W30:W31" si="14">SUM(Q30:V30)</f>
        <v>-30000</v>
      </c>
      <c r="X30" s="23">
        <f>+'BS Actual &amp; Forecast'!W37-'BS Actual &amp; Forecast'!V37</f>
        <v>-5000</v>
      </c>
      <c r="Y30" s="23">
        <f>+'BS Actual &amp; Forecast'!X37-'BS Actual &amp; Forecast'!W37</f>
        <v>-5000</v>
      </c>
      <c r="Z30" s="23">
        <f>+'BS Actual &amp; Forecast'!Y37-'BS Actual &amp; Forecast'!X37</f>
        <v>-5000</v>
      </c>
      <c r="AA30" s="23">
        <f>+'BS Actual &amp; Forecast'!Z37-'BS Actual &amp; Forecast'!Y37</f>
        <v>-5000</v>
      </c>
      <c r="AB30" s="23">
        <f>+'BS Actual &amp; Forecast'!AA37-'BS Actual &amp; Forecast'!Z37</f>
        <v>-5000</v>
      </c>
      <c r="AC30" s="23">
        <f>+'BS Actual &amp; Forecast'!AB37-'BS Actual &amp; Forecast'!AA37</f>
        <v>-5000</v>
      </c>
      <c r="AD30" s="35">
        <f t="shared" ref="AD30:AD31" si="15">SUM(Q30:AC30)</f>
        <v>-90000</v>
      </c>
      <c r="AF30" s="23">
        <f>+'BS Actual &amp; Forecast'!AE37-'BS Actual &amp; Forecast'!AB37</f>
        <v>-5000</v>
      </c>
      <c r="AG30" s="23">
        <f>+'BS Actual &amp; Forecast'!AF37-'BS Actual &amp; Forecast'!AE37</f>
        <v>-5000</v>
      </c>
      <c r="AH30" s="23">
        <f>+'BS Actual &amp; Forecast'!AG37-'BS Actual &amp; Forecast'!AF37</f>
        <v>-5000</v>
      </c>
      <c r="AI30" s="23">
        <f>+'BS Actual &amp; Forecast'!AH37-'BS Actual &amp; Forecast'!AG37</f>
        <v>-5000</v>
      </c>
      <c r="AJ30" s="23">
        <f>+'BS Actual &amp; Forecast'!AI37-'BS Actual &amp; Forecast'!AH37</f>
        <v>-5000</v>
      </c>
      <c r="AK30" s="23">
        <f>+'BS Actual &amp; Forecast'!AJ37-'BS Actual &amp; Forecast'!AI37</f>
        <v>-5000</v>
      </c>
      <c r="AL30" s="23">
        <f>+'BS Actual &amp; Forecast'!AK37-'BS Actual &amp; Forecast'!AJ37</f>
        <v>-170707.5</v>
      </c>
      <c r="AM30" s="23">
        <f>+'BS Actual &amp; Forecast'!AL37-'BS Actual &amp; Forecast'!AK37</f>
        <v>-170707.5</v>
      </c>
      <c r="AN30" s="23">
        <f>+'BS Actual &amp; Forecast'!AM37-'BS Actual &amp; Forecast'!AL37</f>
        <v>-170707.5</v>
      </c>
      <c r="AO30" s="23">
        <f>+'BS Actual &amp; Forecast'!AN37-'BS Actual &amp; Forecast'!AM37</f>
        <v>-170707.5</v>
      </c>
      <c r="AP30" s="23">
        <f>+'BS Actual &amp; Forecast'!AO37-'BS Actual &amp; Forecast'!AN37</f>
        <v>-170707.5</v>
      </c>
      <c r="AQ30" s="23">
        <f>+'BS Actual &amp; Forecast'!AP37-'BS Actual &amp; Forecast'!AO37</f>
        <v>-170707.5</v>
      </c>
      <c r="AR30" s="35">
        <f t="shared" ref="AR30:AR31" si="16">SUM(AF30:AQ30)</f>
        <v>-1054245</v>
      </c>
    </row>
    <row r="31" spans="1:44" x14ac:dyDescent="0.15">
      <c r="A31" s="54" t="s">
        <v>194</v>
      </c>
      <c r="C31" s="24">
        <v>-175000</v>
      </c>
      <c r="D31" s="24">
        <f>+'BS Actual &amp; Forecast'!D41-'BS Actual &amp; Forecast'!C41</f>
        <v>-75000</v>
      </c>
      <c r="E31" s="24">
        <f>+'BS Actual &amp; Forecast'!E41-'BS Actual &amp; Forecast'!D41</f>
        <v>-75000</v>
      </c>
      <c r="F31" s="24">
        <f>+'BS Actual &amp; Forecast'!F41-'BS Actual &amp; Forecast'!E41</f>
        <v>-75000</v>
      </c>
      <c r="G31" s="24">
        <f>+'BS Actual &amp; Forecast'!G41-'BS Actual &amp; Forecast'!F41</f>
        <v>-75000</v>
      </c>
      <c r="H31" s="24">
        <f>+'BS Actual &amp; Forecast'!H41-'BS Actual &amp; Forecast'!G41</f>
        <v>-75000</v>
      </c>
      <c r="I31" s="24">
        <f>+'BS Actual &amp; Forecast'!I41-'BS Actual &amp; Forecast'!H41</f>
        <v>-75000</v>
      </c>
      <c r="J31" s="24">
        <f>+'BS Actual &amp; Forecast'!J41-'BS Actual &amp; Forecast'!I41</f>
        <v>-75000</v>
      </c>
      <c r="K31" s="24">
        <f>+'BS Actual &amp; Forecast'!K41-'BS Actual &amp; Forecast'!J41</f>
        <v>-75000</v>
      </c>
      <c r="L31" s="24">
        <f>+'BS Actual &amp; Forecast'!L41-'BS Actual &amp; Forecast'!K41</f>
        <v>-75000</v>
      </c>
      <c r="M31" s="24">
        <f>+'BS Actual &amp; Forecast'!M41-'BS Actual &amp; Forecast'!L41</f>
        <v>-75000</v>
      </c>
      <c r="N31" s="24">
        <f>+'BS Actual &amp; Forecast'!N41-'BS Actual &amp; Forecast'!M41</f>
        <v>-400000</v>
      </c>
      <c r="O31" s="24">
        <f t="shared" si="13"/>
        <v>-1325000</v>
      </c>
      <c r="Q31" s="24">
        <f>+'BS Actual &amp; Forecast'!Q41-'BS Actual &amp; Forecast'!N41</f>
        <v>-100000</v>
      </c>
      <c r="R31" s="24">
        <f>+'BS Actual &amp; Forecast'!R41-'BS Actual &amp; Forecast'!Q41</f>
        <v>-100000</v>
      </c>
      <c r="S31" s="24">
        <f>+'BS Actual &amp; Forecast'!S41-'BS Actual &amp; Forecast'!R41</f>
        <v>-100000</v>
      </c>
      <c r="T31" s="24">
        <f>+'BS Actual &amp; Forecast'!T41-'BS Actual &amp; Forecast'!S41</f>
        <v>-100000</v>
      </c>
      <c r="U31" s="24">
        <f>+'BS Actual &amp; Forecast'!U41-'BS Actual &amp; Forecast'!T41</f>
        <v>-100000</v>
      </c>
      <c r="V31" s="24">
        <f>+'BS Actual &amp; Forecast'!V41-'BS Actual &amp; Forecast'!U41</f>
        <v>-100000</v>
      </c>
      <c r="W31" s="24">
        <f t="shared" si="14"/>
        <v>-600000</v>
      </c>
      <c r="X31" s="24">
        <f>+'Assumptions Summary'!W38</f>
        <v>-100000</v>
      </c>
      <c r="Y31" s="24">
        <f>+'Assumptions Summary'!X38</f>
        <v>0</v>
      </c>
      <c r="Z31" s="24">
        <f>+'Assumptions Summary'!Y38</f>
        <v>0</v>
      </c>
      <c r="AA31" s="24">
        <f>+'Assumptions Summary'!Z38</f>
        <v>0</v>
      </c>
      <c r="AB31" s="24">
        <f>+'Assumptions Summary'!AA38</f>
        <v>0</v>
      </c>
      <c r="AC31" s="24">
        <f>+'Assumptions Summary'!AB38</f>
        <v>0</v>
      </c>
      <c r="AD31" s="24">
        <f t="shared" si="15"/>
        <v>-1300000</v>
      </c>
      <c r="AF31" s="24">
        <f>+'Assumptions Summary'!AE38</f>
        <v>0</v>
      </c>
      <c r="AG31" s="24">
        <f>+'Assumptions Summary'!AF38</f>
        <v>0</v>
      </c>
      <c r="AH31" s="24">
        <f>+'Assumptions Summary'!AG38</f>
        <v>-100000</v>
      </c>
      <c r="AI31" s="24">
        <f>+'Assumptions Summary'!AH38</f>
        <v>-100000</v>
      </c>
      <c r="AJ31" s="24">
        <f>+'Assumptions Summary'!AI38</f>
        <v>-100000</v>
      </c>
      <c r="AK31" s="24">
        <f>+'Assumptions Summary'!AJ38</f>
        <v>-100000</v>
      </c>
      <c r="AL31" s="24">
        <f>+'Assumptions Summary'!AK38</f>
        <v>-100000</v>
      </c>
      <c r="AM31" s="24">
        <f>+'Assumptions Summary'!AL38</f>
        <v>-100000</v>
      </c>
      <c r="AN31" s="24">
        <f>+'Assumptions Summary'!AM38</f>
        <v>-100000</v>
      </c>
      <c r="AO31" s="24">
        <f>+'Assumptions Summary'!AN38</f>
        <v>-100000</v>
      </c>
      <c r="AP31" s="24">
        <f>+'Assumptions Summary'!AO38</f>
        <v>-100000</v>
      </c>
      <c r="AQ31" s="24">
        <f>+'Assumptions Summary'!AP38</f>
        <v>-600000</v>
      </c>
      <c r="AR31" s="24">
        <f t="shared" si="16"/>
        <v>-1500000</v>
      </c>
    </row>
    <row r="32" spans="1:44" x14ac:dyDescent="0.1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4" x14ac:dyDescent="0.15">
      <c r="A33" s="54" t="s">
        <v>195</v>
      </c>
      <c r="C33" s="24">
        <f>SUM(C30:C31)</f>
        <v>-180000</v>
      </c>
      <c r="D33" s="24">
        <f>SUM(D30:D31)</f>
        <v>-80000</v>
      </c>
      <c r="E33" s="24">
        <f t="shared" ref="E33:O33" si="17">SUM(E30:E31)</f>
        <v>-80000</v>
      </c>
      <c r="F33" s="24">
        <f t="shared" si="17"/>
        <v>-80000</v>
      </c>
      <c r="G33" s="24">
        <f t="shared" si="17"/>
        <v>-80000</v>
      </c>
      <c r="H33" s="24">
        <f t="shared" si="17"/>
        <v>-80000</v>
      </c>
      <c r="I33" s="24">
        <f t="shared" si="17"/>
        <v>-80000</v>
      </c>
      <c r="J33" s="24">
        <f t="shared" si="17"/>
        <v>-80000</v>
      </c>
      <c r="K33" s="24">
        <f t="shared" si="17"/>
        <v>-80000</v>
      </c>
      <c r="L33" s="24">
        <f t="shared" si="17"/>
        <v>-80000</v>
      </c>
      <c r="M33" s="24">
        <f t="shared" si="17"/>
        <v>-80000</v>
      </c>
      <c r="N33" s="24">
        <f t="shared" si="17"/>
        <v>-405000</v>
      </c>
      <c r="O33" s="24">
        <f t="shared" si="17"/>
        <v>-1385000</v>
      </c>
      <c r="Q33" s="24">
        <f t="shared" ref="Q33:AD33" si="18">SUM(Q30:Q31)</f>
        <v>-105000</v>
      </c>
      <c r="R33" s="24">
        <f t="shared" si="18"/>
        <v>-105000</v>
      </c>
      <c r="S33" s="24">
        <f t="shared" si="18"/>
        <v>-105000</v>
      </c>
      <c r="T33" s="24">
        <f t="shared" si="18"/>
        <v>-105000</v>
      </c>
      <c r="U33" s="24">
        <f t="shared" si="18"/>
        <v>-105000</v>
      </c>
      <c r="V33" s="24">
        <f t="shared" si="18"/>
        <v>-105000</v>
      </c>
      <c r="W33" s="24">
        <f t="shared" si="18"/>
        <v>-630000</v>
      </c>
      <c r="X33" s="24">
        <f t="shared" si="18"/>
        <v>-105000</v>
      </c>
      <c r="Y33" s="24">
        <f t="shared" si="18"/>
        <v>-5000</v>
      </c>
      <c r="Z33" s="24">
        <f t="shared" si="18"/>
        <v>-5000</v>
      </c>
      <c r="AA33" s="24">
        <f t="shared" si="18"/>
        <v>-5000</v>
      </c>
      <c r="AB33" s="24">
        <f t="shared" si="18"/>
        <v>-5000</v>
      </c>
      <c r="AC33" s="24">
        <f t="shared" si="18"/>
        <v>-5000</v>
      </c>
      <c r="AD33" s="24">
        <f t="shared" si="18"/>
        <v>-1390000</v>
      </c>
      <c r="AF33" s="24">
        <f t="shared" ref="AF33:AR33" si="19">SUM(AF30:AF31)</f>
        <v>-5000</v>
      </c>
      <c r="AG33" s="24">
        <f t="shared" si="19"/>
        <v>-5000</v>
      </c>
      <c r="AH33" s="24">
        <f t="shared" si="19"/>
        <v>-105000</v>
      </c>
      <c r="AI33" s="24">
        <f t="shared" si="19"/>
        <v>-105000</v>
      </c>
      <c r="AJ33" s="24">
        <f t="shared" si="19"/>
        <v>-105000</v>
      </c>
      <c r="AK33" s="24">
        <f t="shared" si="19"/>
        <v>-105000</v>
      </c>
      <c r="AL33" s="24">
        <f t="shared" si="19"/>
        <v>-270707.5</v>
      </c>
      <c r="AM33" s="24">
        <f t="shared" si="19"/>
        <v>-270707.5</v>
      </c>
      <c r="AN33" s="24">
        <f t="shared" si="19"/>
        <v>-270707.5</v>
      </c>
      <c r="AO33" s="24">
        <f t="shared" si="19"/>
        <v>-270707.5</v>
      </c>
      <c r="AP33" s="24">
        <f t="shared" si="19"/>
        <v>-270707.5</v>
      </c>
      <c r="AQ33" s="24">
        <f t="shared" si="19"/>
        <v>-770707.5</v>
      </c>
      <c r="AR33" s="24">
        <f t="shared" si="19"/>
        <v>-2554245</v>
      </c>
    </row>
    <row r="34" spans="1:44" x14ac:dyDescent="0.15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4" x14ac:dyDescent="0.1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4" x14ac:dyDescent="0.15">
      <c r="A36" s="54" t="s">
        <v>196</v>
      </c>
      <c r="C36" s="23">
        <f>+C21+C27+C33</f>
        <v>-101973.61099999995</v>
      </c>
      <c r="D36" s="23">
        <f>+D21+D27+D33</f>
        <v>196694.03654620581</v>
      </c>
      <c r="E36" s="23">
        <f t="shared" ref="E36:O36" si="20">+E21+E27+E33</f>
        <v>41339.450588983455</v>
      </c>
      <c r="F36" s="23">
        <f t="shared" si="20"/>
        <v>-356515.13262563106</v>
      </c>
      <c r="G36" s="23">
        <f t="shared" si="20"/>
        <v>209831.16244376323</v>
      </c>
      <c r="H36" s="23">
        <f t="shared" si="20"/>
        <v>210605.95808210247</v>
      </c>
      <c r="I36" s="23">
        <f t="shared" si="20"/>
        <v>70352.780209818244</v>
      </c>
      <c r="J36" s="23">
        <f t="shared" si="20"/>
        <v>537316.05142606725</v>
      </c>
      <c r="K36" s="23">
        <f t="shared" si="20"/>
        <v>-289420.67827523721</v>
      </c>
      <c r="L36" s="23">
        <f t="shared" si="20"/>
        <v>-292940.23949825543</v>
      </c>
      <c r="M36" s="23">
        <f t="shared" si="20"/>
        <v>-31167.670788903895</v>
      </c>
      <c r="N36" s="23">
        <f t="shared" si="20"/>
        <v>-613253.61087233596</v>
      </c>
      <c r="O36" s="23">
        <f t="shared" si="20"/>
        <v>-419130.50376342307</v>
      </c>
      <c r="Q36" s="23">
        <f t="shared" ref="Q36:AD36" si="21">+Q21+Q27+Q33</f>
        <v>148718.892847082</v>
      </c>
      <c r="R36" s="23">
        <f t="shared" si="21"/>
        <v>348380.19907071092</v>
      </c>
      <c r="S36" s="23">
        <f t="shared" si="21"/>
        <v>200067.93295286607</v>
      </c>
      <c r="T36" s="23">
        <f t="shared" si="21"/>
        <v>-188204.15854981483</v>
      </c>
      <c r="U36" s="23">
        <f t="shared" si="21"/>
        <v>-159192.41092505225</v>
      </c>
      <c r="V36" s="23">
        <f t="shared" si="21"/>
        <v>-124674.2443692676</v>
      </c>
      <c r="W36" s="23">
        <f t="shared" si="21"/>
        <v>225095.71102652443</v>
      </c>
      <c r="X36" s="23">
        <f t="shared" si="21"/>
        <v>202778.85285388783</v>
      </c>
      <c r="Y36" s="23">
        <f t="shared" si="21"/>
        <v>-88343.320509903715</v>
      </c>
      <c r="Z36" s="23">
        <f t="shared" si="21"/>
        <v>-32580.039962579613</v>
      </c>
      <c r="AA36" s="23">
        <f t="shared" si="21"/>
        <v>-572459.8718403778</v>
      </c>
      <c r="AB36" s="23">
        <f t="shared" si="21"/>
        <v>252892.37807345064</v>
      </c>
      <c r="AC36" s="23">
        <f t="shared" si="21"/>
        <v>-82012.188057037885</v>
      </c>
      <c r="AD36" s="23">
        <f t="shared" si="21"/>
        <v>130467.73261048784</v>
      </c>
      <c r="AF36" s="23">
        <f t="shared" ref="AF36:AR36" si="22">+AF21+AF27+AF33</f>
        <v>-355453.44536169723</v>
      </c>
      <c r="AG36" s="23">
        <f t="shared" si="22"/>
        <v>380554.21894336236</v>
      </c>
      <c r="AH36" s="23">
        <f t="shared" si="22"/>
        <v>869565.60501022427</v>
      </c>
      <c r="AI36" s="23">
        <f t="shared" si="22"/>
        <v>701079.66524687107</v>
      </c>
      <c r="AJ36" s="23">
        <f t="shared" si="22"/>
        <v>208872.47486095247</v>
      </c>
      <c r="AK36" s="23">
        <f t="shared" si="22"/>
        <v>-57479.14863900069</v>
      </c>
      <c r="AL36" s="23">
        <f t="shared" si="22"/>
        <v>-230668.64713903356</v>
      </c>
      <c r="AM36" s="23">
        <f t="shared" si="22"/>
        <v>-291927.5719257262</v>
      </c>
      <c r="AN36" s="23">
        <f t="shared" si="22"/>
        <v>-245257.60577621893</v>
      </c>
      <c r="AO36" s="23">
        <f t="shared" si="22"/>
        <v>28026.087230818288</v>
      </c>
      <c r="AP36" s="23">
        <f t="shared" si="22"/>
        <v>73727.67678375484</v>
      </c>
      <c r="AQ36" s="23">
        <f t="shared" si="22"/>
        <v>-445471.52771612478</v>
      </c>
      <c r="AR36" s="23">
        <f t="shared" si="22"/>
        <v>635567.78151818179</v>
      </c>
    </row>
    <row r="38" spans="1:44" x14ac:dyDescent="0.15">
      <c r="A38" s="54" t="s">
        <v>197</v>
      </c>
      <c r="C38" s="24">
        <f>1208785+25000+11659</f>
        <v>1245444</v>
      </c>
      <c r="D38" s="24">
        <f>+C40</f>
        <v>1143470.389</v>
      </c>
      <c r="E38" s="24">
        <f t="shared" ref="E38:N38" si="23">+D40</f>
        <v>1340164.4255462058</v>
      </c>
      <c r="F38" s="24">
        <f t="shared" si="23"/>
        <v>1381503.8761351893</v>
      </c>
      <c r="G38" s="24">
        <f t="shared" si="23"/>
        <v>1024988.7435095583</v>
      </c>
      <c r="H38" s="24">
        <f t="shared" si="23"/>
        <v>1234819.9059533216</v>
      </c>
      <c r="I38" s="24">
        <f t="shared" si="23"/>
        <v>1445425.8640354241</v>
      </c>
      <c r="J38" s="24">
        <f t="shared" si="23"/>
        <v>1515778.6442452422</v>
      </c>
      <c r="K38" s="24">
        <f t="shared" si="23"/>
        <v>2053094.6956713095</v>
      </c>
      <c r="L38" s="24">
        <f t="shared" si="23"/>
        <v>1763674.0173960724</v>
      </c>
      <c r="M38" s="24">
        <f t="shared" si="23"/>
        <v>1470733.7778978171</v>
      </c>
      <c r="N38" s="24">
        <f t="shared" si="23"/>
        <v>1439566.1071089131</v>
      </c>
      <c r="O38" s="24">
        <f>+C38</f>
        <v>1245444</v>
      </c>
      <c r="Q38" s="24">
        <f>+N40</f>
        <v>826312.49623657716</v>
      </c>
      <c r="R38" s="24">
        <f t="shared" ref="R38:AC38" si="24">+Q40</f>
        <v>975031.38908365916</v>
      </c>
      <c r="S38" s="24">
        <f t="shared" si="24"/>
        <v>1323411.58815437</v>
      </c>
      <c r="T38" s="24">
        <f t="shared" si="24"/>
        <v>1523479.5211072359</v>
      </c>
      <c r="U38" s="24">
        <f t="shared" si="24"/>
        <v>1335275.362557421</v>
      </c>
      <c r="V38" s="24">
        <f t="shared" si="24"/>
        <v>1176082.9516323688</v>
      </c>
      <c r="W38" s="24">
        <f>+O40</f>
        <v>826313.49623657693</v>
      </c>
      <c r="X38" s="24">
        <f>+V40</f>
        <v>1051408.7072631014</v>
      </c>
      <c r="Y38" s="24">
        <f t="shared" si="24"/>
        <v>1254187.5601169891</v>
      </c>
      <c r="Z38" s="24">
        <f t="shared" si="24"/>
        <v>1165844.2396070855</v>
      </c>
      <c r="AA38" s="24">
        <f t="shared" si="24"/>
        <v>1133264.199644506</v>
      </c>
      <c r="AB38" s="24">
        <f t="shared" si="24"/>
        <v>560804.32780412817</v>
      </c>
      <c r="AC38" s="24">
        <f t="shared" si="24"/>
        <v>813696.70587757882</v>
      </c>
      <c r="AD38" s="24">
        <f>+Q38</f>
        <v>826312.49623657716</v>
      </c>
      <c r="AF38" s="24">
        <f>+AC40</f>
        <v>731684.51782054093</v>
      </c>
      <c r="AG38" s="24">
        <f t="shared" ref="AG38:AQ38" si="25">+AF40</f>
        <v>376231.0724588437</v>
      </c>
      <c r="AH38" s="24">
        <f t="shared" si="25"/>
        <v>756785.29140220606</v>
      </c>
      <c r="AI38" s="24">
        <f t="shared" si="25"/>
        <v>1626350.8964124303</v>
      </c>
      <c r="AJ38" s="24">
        <f t="shared" si="25"/>
        <v>2327430.5616593016</v>
      </c>
      <c r="AK38" s="24">
        <f t="shared" si="25"/>
        <v>2536303.0365202539</v>
      </c>
      <c r="AL38" s="24">
        <f t="shared" si="25"/>
        <v>2478823.8878812534</v>
      </c>
      <c r="AM38" s="24">
        <f t="shared" si="25"/>
        <v>2248155.2407422196</v>
      </c>
      <c r="AN38" s="24">
        <f t="shared" si="25"/>
        <v>1956227.6688164934</v>
      </c>
      <c r="AO38" s="24">
        <f t="shared" si="25"/>
        <v>1710970.0630402744</v>
      </c>
      <c r="AP38" s="24">
        <f t="shared" si="25"/>
        <v>1738996.1502710928</v>
      </c>
      <c r="AQ38" s="24">
        <f t="shared" si="25"/>
        <v>1812723.8270548475</v>
      </c>
      <c r="AR38" s="24">
        <f>+AF38</f>
        <v>731684.51782054093</v>
      </c>
    </row>
    <row r="40" spans="1:44" ht="14" thickBot="1" x14ac:dyDescent="0.2">
      <c r="A40" s="54" t="s">
        <v>198</v>
      </c>
      <c r="C40" s="93">
        <f>+C36+C38</f>
        <v>1143470.389</v>
      </c>
      <c r="D40" s="93">
        <f>+D36+D38</f>
        <v>1340164.4255462058</v>
      </c>
      <c r="E40" s="93">
        <f t="shared" ref="E40:O40" si="26">+E36+E38</f>
        <v>1381503.8761351893</v>
      </c>
      <c r="F40" s="93">
        <f t="shared" si="26"/>
        <v>1024988.7435095583</v>
      </c>
      <c r="G40" s="93">
        <f t="shared" si="26"/>
        <v>1234819.9059533216</v>
      </c>
      <c r="H40" s="93">
        <f t="shared" si="26"/>
        <v>1445425.8640354241</v>
      </c>
      <c r="I40" s="93">
        <f t="shared" si="26"/>
        <v>1515778.6442452422</v>
      </c>
      <c r="J40" s="93">
        <f t="shared" si="26"/>
        <v>2053094.6956713095</v>
      </c>
      <c r="K40" s="93">
        <f t="shared" si="26"/>
        <v>1763674.0173960724</v>
      </c>
      <c r="L40" s="93">
        <f t="shared" si="26"/>
        <v>1470733.7778978171</v>
      </c>
      <c r="M40" s="93">
        <f t="shared" si="26"/>
        <v>1439566.1071089131</v>
      </c>
      <c r="N40" s="93">
        <f t="shared" si="26"/>
        <v>826312.49623657716</v>
      </c>
      <c r="O40" s="93">
        <f t="shared" si="26"/>
        <v>826313.49623657693</v>
      </c>
      <c r="Q40" s="93">
        <f t="shared" ref="Q40:AD40" si="27">+Q36+Q38</f>
        <v>975031.38908365916</v>
      </c>
      <c r="R40" s="93">
        <f t="shared" si="27"/>
        <v>1323411.58815437</v>
      </c>
      <c r="S40" s="93">
        <f t="shared" si="27"/>
        <v>1523479.5211072359</v>
      </c>
      <c r="T40" s="93">
        <f t="shared" si="27"/>
        <v>1335275.362557421</v>
      </c>
      <c r="U40" s="93">
        <f t="shared" si="27"/>
        <v>1176082.9516323688</v>
      </c>
      <c r="V40" s="93">
        <f t="shared" si="27"/>
        <v>1051408.7072631014</v>
      </c>
      <c r="W40" s="93">
        <f t="shared" si="27"/>
        <v>1051409.2072631014</v>
      </c>
      <c r="X40" s="93">
        <f t="shared" si="27"/>
        <v>1254187.5601169891</v>
      </c>
      <c r="Y40" s="93">
        <f t="shared" si="27"/>
        <v>1165844.2396070855</v>
      </c>
      <c r="Z40" s="93">
        <f t="shared" si="27"/>
        <v>1133264.199644506</v>
      </c>
      <c r="AA40" s="93">
        <f t="shared" si="27"/>
        <v>560804.32780412817</v>
      </c>
      <c r="AB40" s="93">
        <f t="shared" si="27"/>
        <v>813696.70587757882</v>
      </c>
      <c r="AC40" s="93">
        <f t="shared" si="27"/>
        <v>731684.51782054093</v>
      </c>
      <c r="AD40" s="93">
        <f t="shared" si="27"/>
        <v>956780.22884706501</v>
      </c>
      <c r="AF40" s="93">
        <f t="shared" ref="AF40:AR40" si="28">+AF36+AF38</f>
        <v>376231.0724588437</v>
      </c>
      <c r="AG40" s="93">
        <f t="shared" si="28"/>
        <v>756785.29140220606</v>
      </c>
      <c r="AH40" s="93">
        <f t="shared" si="28"/>
        <v>1626350.8964124303</v>
      </c>
      <c r="AI40" s="93">
        <f t="shared" si="28"/>
        <v>2327430.5616593016</v>
      </c>
      <c r="AJ40" s="93">
        <f t="shared" si="28"/>
        <v>2536303.0365202539</v>
      </c>
      <c r="AK40" s="93">
        <f t="shared" si="28"/>
        <v>2478823.8878812534</v>
      </c>
      <c r="AL40" s="93">
        <f t="shared" si="28"/>
        <v>2248155.2407422196</v>
      </c>
      <c r="AM40" s="93">
        <f t="shared" si="28"/>
        <v>1956227.6688164934</v>
      </c>
      <c r="AN40" s="93">
        <f t="shared" si="28"/>
        <v>1710970.0630402744</v>
      </c>
      <c r="AO40" s="93">
        <f t="shared" si="28"/>
        <v>1738996.1502710928</v>
      </c>
      <c r="AP40" s="93">
        <f t="shared" si="28"/>
        <v>1812723.8270548475</v>
      </c>
      <c r="AQ40" s="93">
        <f t="shared" si="28"/>
        <v>1367252.2993387226</v>
      </c>
      <c r="AR40" s="93">
        <f t="shared" si="28"/>
        <v>1367252.2993387226</v>
      </c>
    </row>
    <row r="41" spans="1:44" ht="14" thickTop="1" x14ac:dyDescent="0.15"/>
  </sheetData>
  <pageMargins left="0.7" right="0.7" top="0.75" bottom="0.75" header="0.3" footer="0.3"/>
  <pageSetup scale="52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T53"/>
  <sheetViews>
    <sheetView workbookViewId="0">
      <pane ySplit="11" topLeftCell="A12" activePane="bottomLeft" state="frozen"/>
      <selection activeCell="AT21" sqref="AT21"/>
      <selection pane="bottomLeft" activeCell="A17" sqref="A17"/>
    </sheetView>
  </sheetViews>
  <sheetFormatPr baseColWidth="10" defaultColWidth="17.1640625" defaultRowHeight="12.75" customHeight="1" x14ac:dyDescent="0.15"/>
  <cols>
    <col min="1" max="1" width="25.5" style="61" bestFit="1" customWidth="1"/>
    <col min="2" max="2" width="12" style="61" customWidth="1"/>
    <col min="3" max="3" width="11.33203125" style="61" customWidth="1"/>
    <col min="4" max="4" width="2.33203125" style="85" customWidth="1"/>
    <col min="5" max="5" width="12" style="61" customWidth="1"/>
    <col min="6" max="6" width="9.83203125" style="61" customWidth="1"/>
    <col min="7" max="7" width="11" style="61" customWidth="1"/>
    <col min="8" max="8" width="9.5" style="61" customWidth="1"/>
    <col min="9" max="9" width="14" style="61" bestFit="1" customWidth="1"/>
    <col min="10" max="10" width="11.5" style="61" customWidth="1"/>
    <col min="11" max="11" width="0.83203125" style="61" customWidth="1"/>
    <col min="12" max="12" width="11" style="61" customWidth="1"/>
    <col min="13" max="13" width="10.5" style="61" customWidth="1"/>
    <col min="14" max="14" width="21.83203125" style="61" customWidth="1"/>
    <col min="15" max="15" width="10.6640625" style="61" hidden="1" customWidth="1"/>
    <col min="16" max="16" width="10.5" style="61" hidden="1" customWidth="1"/>
    <col min="17" max="17" width="9.1640625" style="61" hidden="1" customWidth="1"/>
    <col min="18" max="21" width="0" style="61" hidden="1" customWidth="1"/>
    <col min="22" max="16384" width="17.1640625" style="61"/>
  </cols>
  <sheetData>
    <row r="1" spans="1:20" ht="12" customHeight="1" x14ac:dyDescent="0.15">
      <c r="A1" s="58" t="s">
        <v>172</v>
      </c>
      <c r="B1" s="59"/>
      <c r="C1" s="59"/>
      <c r="D1" s="5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20" ht="18" x14ac:dyDescent="0.2">
      <c r="A2" s="136" t="s">
        <v>123</v>
      </c>
      <c r="B2" s="59"/>
      <c r="C2" s="59"/>
      <c r="D2" s="59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6" t="s">
        <v>214</v>
      </c>
      <c r="P2" s="113"/>
      <c r="Q2" s="113"/>
    </row>
    <row r="3" spans="1:20" ht="19.5" customHeight="1" x14ac:dyDescent="0.2">
      <c r="A3" s="62"/>
      <c r="B3" s="59"/>
      <c r="C3" s="59"/>
      <c r="D3" s="59"/>
      <c r="E3" s="113"/>
      <c r="F3" s="113"/>
      <c r="G3" s="91" t="s">
        <v>84</v>
      </c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20" ht="12" customHeight="1" x14ac:dyDescent="0.15">
      <c r="A4" s="113"/>
      <c r="B4" s="59"/>
      <c r="C4" s="59"/>
      <c r="D4" s="59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38" t="s">
        <v>124</v>
      </c>
      <c r="P4" s="138"/>
      <c r="Q4" s="138"/>
    </row>
    <row r="5" spans="1:20" ht="12" customHeight="1" x14ac:dyDescent="0.15">
      <c r="A5" s="63" t="s">
        <v>125</v>
      </c>
      <c r="B5" s="139" t="s">
        <v>126</v>
      </c>
      <c r="C5" s="139"/>
      <c r="D5" s="59"/>
      <c r="E5" s="140" t="s">
        <v>180</v>
      </c>
      <c r="F5" s="140"/>
      <c r="G5" s="140"/>
      <c r="H5" s="140"/>
      <c r="I5" s="140"/>
      <c r="J5" s="140"/>
      <c r="K5" s="113"/>
      <c r="L5" s="140" t="s">
        <v>181</v>
      </c>
      <c r="M5" s="140"/>
      <c r="N5" s="113"/>
      <c r="O5" s="141" t="s">
        <v>127</v>
      </c>
      <c r="P5" s="141"/>
      <c r="Q5" s="141"/>
    </row>
    <row r="6" spans="1:20" ht="12" customHeight="1" x14ac:dyDescent="0.15">
      <c r="A6" s="64"/>
      <c r="B6" s="65"/>
      <c r="C6" s="65"/>
      <c r="D6" s="59"/>
      <c r="E6" s="65"/>
      <c r="F6" s="65"/>
      <c r="G6" s="65"/>
      <c r="H6" s="65"/>
      <c r="I6" s="65"/>
      <c r="J6" s="65"/>
      <c r="K6" s="113"/>
      <c r="L6" s="64"/>
      <c r="M6" s="64"/>
      <c r="N6" s="113"/>
      <c r="O6" s="64"/>
      <c r="P6" s="64"/>
      <c r="Q6" s="64"/>
    </row>
    <row r="7" spans="1:20" ht="12" customHeight="1" x14ac:dyDescent="0.15">
      <c r="A7" s="113"/>
      <c r="B7" s="59"/>
      <c r="C7" s="59"/>
      <c r="D7" s="59"/>
      <c r="E7" s="59"/>
      <c r="F7" s="59"/>
      <c r="G7" s="59"/>
      <c r="H7" s="59"/>
      <c r="I7" s="59"/>
      <c r="J7" s="59"/>
      <c r="K7" s="113"/>
      <c r="L7" s="112" t="s">
        <v>128</v>
      </c>
      <c r="M7" s="112" t="s">
        <v>129</v>
      </c>
      <c r="N7" s="113"/>
      <c r="O7" s="113"/>
      <c r="P7" s="113"/>
      <c r="Q7" s="113"/>
    </row>
    <row r="8" spans="1:20" ht="12" customHeight="1" x14ac:dyDescent="0.15">
      <c r="A8" s="113"/>
      <c r="B8" s="59"/>
      <c r="C8" s="59"/>
      <c r="D8" s="59"/>
      <c r="E8" s="59"/>
      <c r="F8" s="59"/>
      <c r="G8" s="59"/>
      <c r="H8" s="59"/>
      <c r="I8" s="59"/>
      <c r="J8" s="59"/>
      <c r="K8" s="113"/>
      <c r="L8" s="112" t="s">
        <v>130</v>
      </c>
      <c r="M8" s="112" t="s">
        <v>131</v>
      </c>
      <c r="N8" s="113"/>
      <c r="O8" s="113"/>
      <c r="P8" s="113"/>
      <c r="Q8" s="113"/>
    </row>
    <row r="9" spans="1:20" ht="12" customHeight="1" x14ac:dyDescent="0.15">
      <c r="A9" s="113"/>
      <c r="B9" s="59"/>
      <c r="C9" s="67" t="s">
        <v>130</v>
      </c>
      <c r="D9" s="59"/>
      <c r="E9" s="67" t="s">
        <v>18</v>
      </c>
      <c r="F9" s="59"/>
      <c r="G9" s="59"/>
      <c r="H9" s="59"/>
      <c r="I9" s="59"/>
      <c r="J9" s="67" t="s">
        <v>130</v>
      </c>
      <c r="K9" s="113"/>
      <c r="L9" s="112" t="s">
        <v>132</v>
      </c>
      <c r="M9" s="112" t="s">
        <v>133</v>
      </c>
      <c r="N9" s="113"/>
      <c r="O9" s="113"/>
      <c r="P9" s="113"/>
      <c r="Q9" s="113"/>
    </row>
    <row r="10" spans="1:20" ht="12" customHeight="1" x14ac:dyDescent="0.15">
      <c r="A10" s="113"/>
      <c r="B10" s="59"/>
      <c r="C10" s="67" t="s">
        <v>134</v>
      </c>
      <c r="D10" s="59"/>
      <c r="E10" s="67" t="s">
        <v>135</v>
      </c>
      <c r="F10" s="67" t="s">
        <v>136</v>
      </c>
      <c r="G10" s="67" t="s">
        <v>137</v>
      </c>
      <c r="H10" s="67" t="s">
        <v>134</v>
      </c>
      <c r="I10" s="67" t="s">
        <v>138</v>
      </c>
      <c r="J10" s="67" t="s">
        <v>139</v>
      </c>
      <c r="K10" s="113"/>
      <c r="L10" s="112" t="s">
        <v>140</v>
      </c>
      <c r="M10" s="112" t="s">
        <v>130</v>
      </c>
      <c r="N10" s="113"/>
      <c r="O10" s="112" t="s">
        <v>15</v>
      </c>
      <c r="P10" s="112" t="s">
        <v>141</v>
      </c>
      <c r="Q10" s="112" t="s">
        <v>134</v>
      </c>
      <c r="T10" s="61" t="s">
        <v>182</v>
      </c>
    </row>
    <row r="11" spans="1:20" ht="12" customHeight="1" x14ac:dyDescent="0.15">
      <c r="A11" s="113"/>
      <c r="B11" s="114" t="s">
        <v>15</v>
      </c>
      <c r="C11" s="114" t="s">
        <v>142</v>
      </c>
      <c r="D11" s="59"/>
      <c r="E11" s="114" t="s">
        <v>143</v>
      </c>
      <c r="F11" s="114" t="s">
        <v>144</v>
      </c>
      <c r="G11" s="114" t="s">
        <v>145</v>
      </c>
      <c r="H11" s="114" t="s">
        <v>142</v>
      </c>
      <c r="I11" s="114" t="s">
        <v>146</v>
      </c>
      <c r="J11" s="114" t="s">
        <v>144</v>
      </c>
      <c r="K11" s="113"/>
      <c r="L11" s="115" t="s">
        <v>129</v>
      </c>
      <c r="M11" s="115" t="s">
        <v>147</v>
      </c>
      <c r="N11" s="113"/>
      <c r="O11" s="115" t="s">
        <v>145</v>
      </c>
      <c r="P11" s="115" t="s">
        <v>15</v>
      </c>
      <c r="Q11" s="115" t="s">
        <v>142</v>
      </c>
    </row>
    <row r="12" spans="1:20" ht="12" customHeight="1" x14ac:dyDescent="0.15">
      <c r="A12" s="113"/>
      <c r="B12" s="65"/>
      <c r="C12" s="65"/>
      <c r="D12" s="59"/>
      <c r="E12" s="65"/>
      <c r="F12" s="65"/>
      <c r="G12" s="65"/>
      <c r="H12" s="65"/>
      <c r="I12" s="65"/>
      <c r="J12" s="65"/>
      <c r="K12" s="113"/>
      <c r="L12" s="64"/>
      <c r="M12" s="64"/>
      <c r="N12" s="113"/>
      <c r="O12" s="64"/>
      <c r="P12" s="64"/>
      <c r="Q12" s="64"/>
    </row>
    <row r="13" spans="1:20" ht="12" customHeight="1" x14ac:dyDescent="0.15">
      <c r="A13" s="113" t="s">
        <v>148</v>
      </c>
      <c r="B13" s="129">
        <f>+'Assumptions Summary'!C14*12</f>
        <v>1554604.7999999998</v>
      </c>
      <c r="C13" s="129">
        <f t="shared" ref="C13:C27" si="0">T13*B13</f>
        <v>233190.71999999997</v>
      </c>
      <c r="D13" s="129"/>
      <c r="E13" s="129">
        <f>(B13-C13)*F13</f>
        <v>145355.54879999999</v>
      </c>
      <c r="F13" s="107">
        <v>0.11</v>
      </c>
      <c r="G13" s="131">
        <f>+F13*B13</f>
        <v>171006.52799999999</v>
      </c>
      <c r="H13" s="131">
        <f>+G13-E13</f>
        <v>25650.979200000002</v>
      </c>
      <c r="I13" s="129">
        <v>224500</v>
      </c>
      <c r="J13" s="131">
        <f>+B13-C13-E13</f>
        <v>1176058.5311999999</v>
      </c>
      <c r="K13" s="132"/>
      <c r="L13" s="132"/>
      <c r="M13" s="133">
        <f>+I13-G13</f>
        <v>53493.472000000009</v>
      </c>
      <c r="N13" s="113"/>
      <c r="O13" s="74"/>
      <c r="P13" s="74"/>
      <c r="Q13" s="74"/>
      <c r="S13" s="71">
        <v>0.05</v>
      </c>
      <c r="T13" s="71">
        <v>0.15</v>
      </c>
    </row>
    <row r="14" spans="1:20" ht="12" customHeight="1" x14ac:dyDescent="0.15">
      <c r="A14" s="113" t="s">
        <v>149</v>
      </c>
      <c r="B14" s="70">
        <v>745690</v>
      </c>
      <c r="C14" s="109">
        <f t="shared" si="0"/>
        <v>149138</v>
      </c>
      <c r="D14" s="70"/>
      <c r="E14" s="70">
        <f t="shared" ref="E14:E27" si="1">(B14-C14)*F14</f>
        <v>387758.8</v>
      </c>
      <c r="F14" s="107">
        <v>0.65</v>
      </c>
      <c r="G14" s="72">
        <f t="shared" ref="G14:G27" si="2">+F14*B14</f>
        <v>484698.5</v>
      </c>
      <c r="H14" s="72">
        <f t="shared" ref="H14:H27" si="3">+G14-E14</f>
        <v>96939.700000000012</v>
      </c>
      <c r="I14" s="70">
        <v>409800</v>
      </c>
      <c r="J14" s="73">
        <f t="shared" ref="J14:J27" si="4">+B14-C14-E14</f>
        <v>208793.2</v>
      </c>
      <c r="K14" s="74"/>
      <c r="L14" s="108">
        <f t="shared" ref="L14:L25" si="5">+G14-I14</f>
        <v>74898.5</v>
      </c>
      <c r="M14" s="75"/>
      <c r="N14" s="113"/>
      <c r="O14" s="74"/>
      <c r="P14" s="74"/>
      <c r="Q14" s="74"/>
      <c r="S14" s="71">
        <v>0.1</v>
      </c>
      <c r="T14" s="71">
        <v>0.2</v>
      </c>
    </row>
    <row r="15" spans="1:20" ht="12" customHeight="1" x14ac:dyDescent="0.15">
      <c r="A15" s="113" t="s">
        <v>150</v>
      </c>
      <c r="B15" s="70">
        <v>460000</v>
      </c>
      <c r="C15" s="109">
        <f t="shared" si="0"/>
        <v>59800</v>
      </c>
      <c r="D15" s="70"/>
      <c r="E15" s="70">
        <f t="shared" si="1"/>
        <v>112056.00000000001</v>
      </c>
      <c r="F15" s="107">
        <v>0.28000000000000003</v>
      </c>
      <c r="G15" s="72">
        <f t="shared" si="2"/>
        <v>128800.00000000001</v>
      </c>
      <c r="H15" s="72">
        <f t="shared" si="3"/>
        <v>16744</v>
      </c>
      <c r="I15" s="70">
        <v>164000</v>
      </c>
      <c r="J15" s="73">
        <f t="shared" si="4"/>
        <v>288144</v>
      </c>
      <c r="K15" s="74"/>
      <c r="L15" s="108"/>
      <c r="M15" s="75">
        <f t="shared" ref="M15:M27" si="6">+I15-G15</f>
        <v>35199.999999999985</v>
      </c>
      <c r="N15" s="113"/>
      <c r="O15" s="74"/>
      <c r="P15" s="74"/>
      <c r="Q15" s="74"/>
      <c r="S15" s="71">
        <v>0.15</v>
      </c>
      <c r="T15" s="71">
        <v>0.13</v>
      </c>
    </row>
    <row r="16" spans="1:20" ht="12" customHeight="1" x14ac:dyDescent="0.15">
      <c r="A16" s="113" t="s">
        <v>151</v>
      </c>
      <c r="B16" s="70">
        <v>800000</v>
      </c>
      <c r="C16" s="109">
        <f t="shared" si="0"/>
        <v>88000</v>
      </c>
      <c r="D16" s="70"/>
      <c r="E16" s="70">
        <f t="shared" si="1"/>
        <v>534000</v>
      </c>
      <c r="F16" s="107">
        <v>0.75</v>
      </c>
      <c r="G16" s="72">
        <f t="shared" si="2"/>
        <v>600000</v>
      </c>
      <c r="H16" s="72">
        <f t="shared" si="3"/>
        <v>66000</v>
      </c>
      <c r="I16" s="70">
        <v>695000</v>
      </c>
      <c r="J16" s="73">
        <f t="shared" si="4"/>
        <v>178000</v>
      </c>
      <c r="K16" s="74"/>
      <c r="L16" s="108"/>
      <c r="M16" s="75">
        <f t="shared" si="6"/>
        <v>95000</v>
      </c>
      <c r="N16" s="113"/>
      <c r="O16" s="74"/>
      <c r="P16" s="74"/>
      <c r="Q16" s="74"/>
      <c r="S16" s="71">
        <v>0.2</v>
      </c>
      <c r="T16" s="71">
        <v>0.11</v>
      </c>
    </row>
    <row r="17" spans="1:20" ht="12" customHeight="1" x14ac:dyDescent="0.15">
      <c r="A17" s="113" t="s">
        <v>152</v>
      </c>
      <c r="B17" s="70">
        <v>925000</v>
      </c>
      <c r="C17" s="109">
        <f t="shared" si="0"/>
        <v>166500</v>
      </c>
      <c r="D17" s="70"/>
      <c r="E17" s="70">
        <f t="shared" si="1"/>
        <v>189625</v>
      </c>
      <c r="F17" s="107">
        <v>0.25</v>
      </c>
      <c r="G17" s="72">
        <f t="shared" si="2"/>
        <v>231250</v>
      </c>
      <c r="H17" s="72">
        <f t="shared" si="3"/>
        <v>41625</v>
      </c>
      <c r="I17" s="70">
        <v>185000</v>
      </c>
      <c r="J17" s="73">
        <f t="shared" si="4"/>
        <v>568875</v>
      </c>
      <c r="K17" s="74"/>
      <c r="L17" s="108">
        <f t="shared" si="5"/>
        <v>46250</v>
      </c>
      <c r="M17" s="75"/>
      <c r="N17" s="113"/>
      <c r="O17" s="74"/>
      <c r="P17" s="74"/>
      <c r="Q17" s="74"/>
      <c r="S17" s="71">
        <v>0.25</v>
      </c>
      <c r="T17" s="71">
        <v>0.18</v>
      </c>
    </row>
    <row r="18" spans="1:20" ht="12" customHeight="1" x14ac:dyDescent="0.15">
      <c r="A18" s="113" t="s">
        <v>153</v>
      </c>
      <c r="B18" s="70">
        <f>+B17*1.3</f>
        <v>1202500</v>
      </c>
      <c r="C18" s="109">
        <f t="shared" si="0"/>
        <v>204425.00000000003</v>
      </c>
      <c r="D18" s="70"/>
      <c r="E18" s="70">
        <f t="shared" si="1"/>
        <v>39923</v>
      </c>
      <c r="F18" s="107">
        <v>0.04</v>
      </c>
      <c r="G18" s="72">
        <f t="shared" si="2"/>
        <v>48100</v>
      </c>
      <c r="H18" s="72">
        <f t="shared" si="3"/>
        <v>8177</v>
      </c>
      <c r="I18" s="70">
        <v>0</v>
      </c>
      <c r="J18" s="73">
        <f t="shared" si="4"/>
        <v>958152</v>
      </c>
      <c r="K18" s="74"/>
      <c r="L18" s="108">
        <f t="shared" si="5"/>
        <v>48100</v>
      </c>
      <c r="M18" s="75"/>
      <c r="N18" s="113"/>
      <c r="O18" s="74"/>
      <c r="P18" s="74"/>
      <c r="Q18" s="74"/>
      <c r="S18" s="71">
        <v>0.3</v>
      </c>
      <c r="T18" s="71">
        <v>0.17</v>
      </c>
    </row>
    <row r="19" spans="1:20" ht="12" customHeight="1" x14ac:dyDescent="0.15">
      <c r="A19" s="113" t="s">
        <v>154</v>
      </c>
      <c r="B19" s="70">
        <f>+B18*0.8</f>
        <v>962000</v>
      </c>
      <c r="C19" s="109">
        <f t="shared" si="0"/>
        <v>153920</v>
      </c>
      <c r="D19" s="70"/>
      <c r="E19" s="70">
        <f t="shared" si="1"/>
        <v>775756.79999999993</v>
      </c>
      <c r="F19" s="107">
        <v>0.96</v>
      </c>
      <c r="G19" s="72">
        <f t="shared" si="2"/>
        <v>923520</v>
      </c>
      <c r="H19" s="72">
        <f t="shared" si="3"/>
        <v>147763.20000000007</v>
      </c>
      <c r="I19" s="70">
        <v>1005000</v>
      </c>
      <c r="J19" s="73">
        <f t="shared" si="4"/>
        <v>32323.20000000007</v>
      </c>
      <c r="K19" s="74"/>
      <c r="L19" s="108"/>
      <c r="M19" s="75">
        <f t="shared" si="6"/>
        <v>81480</v>
      </c>
      <c r="N19" s="113"/>
      <c r="O19" s="74"/>
      <c r="P19" s="74"/>
      <c r="Q19" s="74"/>
      <c r="S19" s="71">
        <v>0.35</v>
      </c>
      <c r="T19" s="71">
        <v>0.16</v>
      </c>
    </row>
    <row r="20" spans="1:20" ht="12" customHeight="1" x14ac:dyDescent="0.15">
      <c r="A20" s="113" t="s">
        <v>155</v>
      </c>
      <c r="B20" s="70">
        <f t="shared" ref="B20:B27" si="7">+B19*0.8</f>
        <v>769600</v>
      </c>
      <c r="C20" s="109">
        <f t="shared" si="0"/>
        <v>92352</v>
      </c>
      <c r="D20" s="70"/>
      <c r="E20" s="70">
        <f t="shared" si="1"/>
        <v>541798.40000000002</v>
      </c>
      <c r="F20" s="107">
        <v>0.8</v>
      </c>
      <c r="G20" s="72">
        <f t="shared" si="2"/>
        <v>615680</v>
      </c>
      <c r="H20" s="72">
        <f t="shared" si="3"/>
        <v>73881.599999999977</v>
      </c>
      <c r="I20" s="70">
        <v>725000</v>
      </c>
      <c r="J20" s="73">
        <f t="shared" si="4"/>
        <v>135449.59999999998</v>
      </c>
      <c r="K20" s="74"/>
      <c r="L20" s="108"/>
      <c r="M20" s="75">
        <f t="shared" si="6"/>
        <v>109320</v>
      </c>
      <c r="N20" s="113"/>
      <c r="O20" s="74"/>
      <c r="P20" s="74"/>
      <c r="Q20" s="74"/>
      <c r="S20" s="71">
        <v>0.4</v>
      </c>
      <c r="T20" s="71">
        <v>0.12</v>
      </c>
    </row>
    <row r="21" spans="1:20" ht="12" customHeight="1" x14ac:dyDescent="0.15">
      <c r="A21" s="113" t="s">
        <v>156</v>
      </c>
      <c r="B21" s="70">
        <f t="shared" si="7"/>
        <v>615680</v>
      </c>
      <c r="C21" s="109">
        <f t="shared" si="0"/>
        <v>104665.60000000001</v>
      </c>
      <c r="D21" s="70"/>
      <c r="E21" s="70">
        <f t="shared" si="1"/>
        <v>178855.04000000001</v>
      </c>
      <c r="F21" s="107">
        <v>0.35</v>
      </c>
      <c r="G21" s="72">
        <f t="shared" si="2"/>
        <v>215488</v>
      </c>
      <c r="H21" s="72">
        <f t="shared" si="3"/>
        <v>36632.959999999992</v>
      </c>
      <c r="I21" s="70">
        <v>246800</v>
      </c>
      <c r="J21" s="73">
        <f t="shared" si="4"/>
        <v>332159.35999999999</v>
      </c>
      <c r="K21" s="74"/>
      <c r="L21" s="108"/>
      <c r="M21" s="75">
        <f t="shared" si="6"/>
        <v>31312</v>
      </c>
      <c r="N21" s="113"/>
      <c r="O21" s="74"/>
      <c r="P21" s="74"/>
      <c r="Q21" s="74"/>
      <c r="S21" s="71">
        <v>0.45</v>
      </c>
      <c r="T21" s="71">
        <v>0.17</v>
      </c>
    </row>
    <row r="22" spans="1:20" ht="12" customHeight="1" x14ac:dyDescent="0.15">
      <c r="A22" s="113" t="s">
        <v>157</v>
      </c>
      <c r="B22" s="70">
        <v>700000</v>
      </c>
      <c r="C22" s="109">
        <f t="shared" si="0"/>
        <v>91000</v>
      </c>
      <c r="D22" s="70"/>
      <c r="E22" s="70">
        <f t="shared" si="1"/>
        <v>401940</v>
      </c>
      <c r="F22" s="107">
        <v>0.66</v>
      </c>
      <c r="G22" s="72">
        <f t="shared" si="2"/>
        <v>462000</v>
      </c>
      <c r="H22" s="72">
        <f t="shared" si="3"/>
        <v>60060</v>
      </c>
      <c r="I22" s="70">
        <v>500000</v>
      </c>
      <c r="J22" s="73">
        <f t="shared" si="4"/>
        <v>207060</v>
      </c>
      <c r="K22" s="74"/>
      <c r="L22" s="108"/>
      <c r="M22" s="75">
        <f t="shared" si="6"/>
        <v>38000</v>
      </c>
      <c r="N22" s="113"/>
      <c r="O22" s="74"/>
      <c r="P22" s="74"/>
      <c r="Q22" s="74"/>
      <c r="S22" s="71">
        <v>0.5</v>
      </c>
      <c r="T22" s="71">
        <v>0.13</v>
      </c>
    </row>
    <row r="23" spans="1:20" ht="12" customHeight="1" x14ac:dyDescent="0.15">
      <c r="A23" s="113" t="s">
        <v>158</v>
      </c>
      <c r="B23" s="70">
        <v>320000</v>
      </c>
      <c r="C23" s="109">
        <f t="shared" si="0"/>
        <v>52800</v>
      </c>
      <c r="D23" s="70"/>
      <c r="E23" s="70">
        <f t="shared" si="1"/>
        <v>120240</v>
      </c>
      <c r="F23" s="107">
        <v>0.45</v>
      </c>
      <c r="G23" s="72">
        <f t="shared" si="2"/>
        <v>144000</v>
      </c>
      <c r="H23" s="72">
        <f t="shared" si="3"/>
        <v>23760</v>
      </c>
      <c r="I23" s="70">
        <v>184675</v>
      </c>
      <c r="J23" s="73">
        <f t="shared" si="4"/>
        <v>146960</v>
      </c>
      <c r="K23" s="74"/>
      <c r="L23" s="108"/>
      <c r="M23" s="75">
        <f t="shared" si="6"/>
        <v>40675</v>
      </c>
      <c r="N23" s="113"/>
      <c r="O23" s="74"/>
      <c r="P23" s="74"/>
      <c r="Q23" s="74"/>
      <c r="S23" s="71">
        <v>0.55000000000000004</v>
      </c>
      <c r="T23" s="71">
        <v>0.16500000000000001</v>
      </c>
    </row>
    <row r="24" spans="1:20" ht="12" customHeight="1" x14ac:dyDescent="0.15">
      <c r="A24" s="113" t="s">
        <v>159</v>
      </c>
      <c r="B24" s="70">
        <f t="shared" si="7"/>
        <v>256000</v>
      </c>
      <c r="C24" s="109">
        <f t="shared" si="0"/>
        <v>44800</v>
      </c>
      <c r="D24" s="70"/>
      <c r="E24" s="70">
        <f t="shared" si="1"/>
        <v>63360</v>
      </c>
      <c r="F24" s="107">
        <v>0.3</v>
      </c>
      <c r="G24" s="72">
        <f t="shared" si="2"/>
        <v>76800</v>
      </c>
      <c r="H24" s="72">
        <f t="shared" si="3"/>
        <v>13440</v>
      </c>
      <c r="I24" s="70">
        <v>133873</v>
      </c>
      <c r="J24" s="73">
        <f t="shared" si="4"/>
        <v>147840</v>
      </c>
      <c r="K24" s="74"/>
      <c r="L24" s="108"/>
      <c r="M24" s="75">
        <f t="shared" si="6"/>
        <v>57073</v>
      </c>
      <c r="N24" s="113"/>
      <c r="O24" s="74"/>
      <c r="P24" s="74"/>
      <c r="Q24" s="74"/>
      <c r="S24" s="71">
        <v>0.6</v>
      </c>
      <c r="T24" s="71">
        <v>0.17499999999999999</v>
      </c>
    </row>
    <row r="25" spans="1:20" ht="12" customHeight="1" x14ac:dyDescent="0.15">
      <c r="A25" s="113" t="s">
        <v>160</v>
      </c>
      <c r="B25" s="70">
        <v>750000</v>
      </c>
      <c r="C25" s="109">
        <f t="shared" si="0"/>
        <v>105000.00000000001</v>
      </c>
      <c r="D25" s="70"/>
      <c r="E25" s="70">
        <f t="shared" si="1"/>
        <v>96750</v>
      </c>
      <c r="F25" s="107">
        <v>0.15</v>
      </c>
      <c r="G25" s="72">
        <f t="shared" si="2"/>
        <v>112500</v>
      </c>
      <c r="H25" s="72">
        <f t="shared" si="3"/>
        <v>15750</v>
      </c>
      <c r="I25" s="70">
        <f>65514-7208</f>
        <v>58306</v>
      </c>
      <c r="J25" s="73">
        <f t="shared" si="4"/>
        <v>548250</v>
      </c>
      <c r="K25" s="74"/>
      <c r="L25" s="108">
        <f t="shared" si="5"/>
        <v>54194</v>
      </c>
      <c r="M25" s="75"/>
      <c r="N25" s="113"/>
      <c r="O25" s="74"/>
      <c r="P25" s="74"/>
      <c r="Q25" s="74"/>
      <c r="S25" s="71">
        <v>0.65</v>
      </c>
      <c r="T25" s="71">
        <v>0.14000000000000001</v>
      </c>
    </row>
    <row r="26" spans="1:20" ht="12" customHeight="1" x14ac:dyDescent="0.15">
      <c r="A26" s="113" t="s">
        <v>161</v>
      </c>
      <c r="B26" s="70">
        <f t="shared" si="7"/>
        <v>600000</v>
      </c>
      <c r="C26" s="109">
        <f t="shared" si="0"/>
        <v>66000</v>
      </c>
      <c r="D26" s="70"/>
      <c r="E26" s="70">
        <f t="shared" si="1"/>
        <v>357780</v>
      </c>
      <c r="F26" s="107">
        <v>0.67</v>
      </c>
      <c r="G26" s="72">
        <f t="shared" si="2"/>
        <v>402000</v>
      </c>
      <c r="H26" s="72">
        <f t="shared" si="3"/>
        <v>44220</v>
      </c>
      <c r="I26" s="70">
        <v>500486</v>
      </c>
      <c r="J26" s="73">
        <f t="shared" si="4"/>
        <v>176220</v>
      </c>
      <c r="K26" s="74"/>
      <c r="L26" s="108"/>
      <c r="M26" s="75">
        <f t="shared" si="6"/>
        <v>98486</v>
      </c>
      <c r="N26" s="113"/>
      <c r="O26" s="74"/>
      <c r="P26" s="74"/>
      <c r="Q26" s="74"/>
      <c r="S26" s="71">
        <v>0.7</v>
      </c>
      <c r="T26" s="71">
        <v>0.11</v>
      </c>
    </row>
    <row r="27" spans="1:20" ht="12" customHeight="1" x14ac:dyDescent="0.15">
      <c r="A27" s="113" t="s">
        <v>162</v>
      </c>
      <c r="B27" s="70">
        <f t="shared" si="7"/>
        <v>480000</v>
      </c>
      <c r="C27" s="109">
        <f t="shared" si="0"/>
        <v>86400</v>
      </c>
      <c r="D27" s="70"/>
      <c r="E27" s="70">
        <f t="shared" si="1"/>
        <v>236160</v>
      </c>
      <c r="F27" s="107">
        <v>0.6</v>
      </c>
      <c r="G27" s="72">
        <f t="shared" si="2"/>
        <v>288000</v>
      </c>
      <c r="H27" s="72">
        <f t="shared" si="3"/>
        <v>51840</v>
      </c>
      <c r="I27" s="70">
        <v>368745</v>
      </c>
      <c r="J27" s="73">
        <f t="shared" si="4"/>
        <v>157440</v>
      </c>
      <c r="K27" s="74"/>
      <c r="L27" s="108"/>
      <c r="M27" s="75">
        <f t="shared" si="6"/>
        <v>80745</v>
      </c>
      <c r="N27" s="113"/>
      <c r="O27" s="74"/>
      <c r="P27" s="74"/>
      <c r="Q27" s="74"/>
      <c r="S27" s="71">
        <v>0.75</v>
      </c>
      <c r="T27" s="71">
        <v>0.18</v>
      </c>
    </row>
    <row r="28" spans="1:20" ht="12" customHeight="1" x14ac:dyDescent="0.15">
      <c r="A28" s="113"/>
      <c r="B28" s="79"/>
      <c r="C28" s="79"/>
      <c r="D28" s="70"/>
      <c r="E28" s="70"/>
      <c r="F28" s="73"/>
      <c r="G28" s="73"/>
      <c r="H28" s="73"/>
      <c r="I28" s="70"/>
      <c r="J28" s="73"/>
      <c r="K28" s="74"/>
      <c r="L28" s="74"/>
      <c r="M28" s="77"/>
      <c r="N28" s="113"/>
      <c r="O28" s="74"/>
      <c r="P28" s="74"/>
      <c r="Q28" s="74"/>
    </row>
    <row r="29" spans="1:20" ht="12" customHeight="1" x14ac:dyDescent="0.15">
      <c r="B29" s="70"/>
      <c r="C29" s="70"/>
      <c r="D29" s="70"/>
      <c r="E29" s="70"/>
      <c r="F29" s="76"/>
      <c r="G29" s="76"/>
      <c r="H29" s="76"/>
      <c r="I29" s="70"/>
      <c r="J29" s="76"/>
      <c r="K29" s="74"/>
      <c r="L29" s="74"/>
      <c r="M29" s="78"/>
      <c r="N29" s="113"/>
      <c r="O29" s="74"/>
      <c r="P29" s="74"/>
      <c r="Q29" s="74"/>
    </row>
    <row r="30" spans="1:20" ht="12" customHeight="1" x14ac:dyDescent="0.15">
      <c r="A30" s="113"/>
      <c r="B30" s="80"/>
      <c r="C30" s="80"/>
      <c r="D30" s="70"/>
      <c r="E30" s="81"/>
      <c r="F30" s="76"/>
      <c r="G30" s="81"/>
      <c r="H30" s="80"/>
      <c r="I30" s="80"/>
      <c r="J30" s="80"/>
      <c r="K30" s="74"/>
      <c r="L30" s="82"/>
      <c r="M30" s="82"/>
      <c r="N30" s="113"/>
      <c r="O30" s="82"/>
      <c r="P30" s="82"/>
      <c r="Q30" s="82"/>
    </row>
    <row r="31" spans="1:20" ht="12" customHeight="1" x14ac:dyDescent="0.15">
      <c r="A31" s="113"/>
      <c r="B31" s="83"/>
      <c r="C31" s="83"/>
      <c r="D31" s="70"/>
      <c r="E31" s="83"/>
      <c r="F31" s="76"/>
      <c r="G31" s="83"/>
      <c r="H31" s="83"/>
      <c r="I31" s="83"/>
      <c r="J31" s="83"/>
      <c r="K31" s="74"/>
      <c r="L31" s="84"/>
      <c r="M31" s="84"/>
      <c r="N31" s="113"/>
      <c r="O31" s="64"/>
      <c r="P31" s="64"/>
      <c r="Q31" s="64"/>
    </row>
    <row r="32" spans="1:20" ht="13" x14ac:dyDescent="0.15">
      <c r="A32" s="113"/>
      <c r="B32" s="130">
        <f>SUM(B13:B30)</f>
        <v>11141074.800000001</v>
      </c>
      <c r="C32" s="130">
        <f>SUM(C13:C30)</f>
        <v>1697991.32</v>
      </c>
      <c r="D32" s="130"/>
      <c r="E32" s="130">
        <f>SUM(E13:E30)</f>
        <v>4181358.5888</v>
      </c>
      <c r="F32" s="76"/>
      <c r="G32" s="130">
        <f>SUM(G13:G30)</f>
        <v>4903843.0279999999</v>
      </c>
      <c r="H32" s="130">
        <f>SUM(H13:H30)</f>
        <v>722484.43920000002</v>
      </c>
      <c r="I32" s="130">
        <f>SUM(I13:I30)</f>
        <v>5401185</v>
      </c>
      <c r="J32" s="130">
        <f>SUM(J13:J30)</f>
        <v>5261724.8912000004</v>
      </c>
      <c r="K32" s="130"/>
      <c r="L32" s="130">
        <f>SUM(L13:L30)</f>
        <v>223442.5</v>
      </c>
      <c r="M32" s="130">
        <f>SUM(M13:M30)</f>
        <v>720784.47200000007</v>
      </c>
      <c r="N32" s="59"/>
      <c r="O32" s="76">
        <f>SUM(O11:O30)</f>
        <v>0</v>
      </c>
      <c r="P32" s="76">
        <f>SUM(P15:P30)</f>
        <v>0</v>
      </c>
      <c r="Q32" s="76">
        <f>SUM(Q13:Q30)</f>
        <v>0</v>
      </c>
      <c r="T32" s="92">
        <f>+C32/B32</f>
        <v>0.15240821469038157</v>
      </c>
    </row>
    <row r="33" spans="1:17" ht="13" x14ac:dyDescent="0.15">
      <c r="A33" s="59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59"/>
      <c r="O33" s="76"/>
      <c r="P33" s="76"/>
      <c r="Q33" s="76"/>
    </row>
    <row r="34" spans="1:17" ht="13" x14ac:dyDescent="0.15">
      <c r="A34" s="59"/>
      <c r="B34" s="76"/>
      <c r="C34" s="76"/>
      <c r="D34" s="76"/>
      <c r="E34" s="76"/>
      <c r="F34" s="76"/>
      <c r="G34" s="76"/>
      <c r="H34" s="78"/>
      <c r="I34" s="78"/>
      <c r="J34" s="78"/>
      <c r="K34" s="78"/>
      <c r="L34" s="78"/>
      <c r="M34" s="78"/>
      <c r="N34" s="113"/>
      <c r="O34" s="78"/>
      <c r="P34" s="78"/>
      <c r="Q34" s="78"/>
    </row>
    <row r="35" spans="1:17" ht="13" x14ac:dyDescent="0.15">
      <c r="A35" s="59"/>
      <c r="B35" s="76"/>
      <c r="C35" s="76"/>
      <c r="D35" s="76"/>
      <c r="E35" s="76"/>
      <c r="F35" s="76"/>
      <c r="G35" s="76"/>
      <c r="H35" s="78"/>
      <c r="I35" s="78"/>
      <c r="J35" s="78"/>
      <c r="K35" s="78"/>
      <c r="L35" s="78"/>
      <c r="M35" s="78"/>
      <c r="N35" s="113"/>
      <c r="O35" s="78"/>
      <c r="P35" s="78"/>
      <c r="Q35" s="78"/>
    </row>
    <row r="36" spans="1:17" ht="13" x14ac:dyDescent="0.15">
      <c r="A36" s="59"/>
      <c r="B36" s="76"/>
      <c r="C36" s="76"/>
      <c r="D36" s="76"/>
      <c r="E36" s="76"/>
      <c r="F36" s="76"/>
      <c r="G36" s="76"/>
      <c r="H36" s="78"/>
      <c r="I36" s="78"/>
      <c r="J36" s="78"/>
      <c r="K36" s="78"/>
      <c r="L36" s="78"/>
      <c r="M36" s="78"/>
      <c r="N36" s="113"/>
      <c r="O36" s="78"/>
      <c r="P36" s="78"/>
      <c r="Q36" s="78"/>
    </row>
    <row r="37" spans="1:17" ht="13" x14ac:dyDescent="0.15">
      <c r="A37" s="59"/>
      <c r="B37" s="76"/>
      <c r="C37" s="76"/>
      <c r="D37" s="76"/>
      <c r="E37" s="76"/>
      <c r="F37" s="76"/>
      <c r="G37" s="76"/>
      <c r="H37" s="78"/>
      <c r="I37" s="78"/>
      <c r="J37" s="78"/>
      <c r="K37" s="78"/>
      <c r="L37" s="78"/>
      <c r="M37" s="78"/>
      <c r="N37" s="113"/>
      <c r="O37" s="78"/>
      <c r="P37" s="78"/>
      <c r="Q37" s="78"/>
    </row>
    <row r="38" spans="1:17" ht="13" x14ac:dyDescent="0.15">
      <c r="A38" s="113"/>
      <c r="B38" s="78"/>
      <c r="C38" s="78"/>
      <c r="D38" s="76"/>
      <c r="E38" s="78"/>
      <c r="F38" s="78"/>
      <c r="G38" s="78"/>
      <c r="H38" s="78"/>
      <c r="I38" s="78"/>
      <c r="J38" s="78"/>
      <c r="K38" s="78"/>
      <c r="L38" s="78"/>
      <c r="M38" s="78"/>
      <c r="N38" s="113"/>
      <c r="O38" s="78"/>
      <c r="P38" s="78"/>
      <c r="Q38" s="78"/>
    </row>
    <row r="39" spans="1:17" ht="13" x14ac:dyDescent="0.15">
      <c r="A39" s="113"/>
      <c r="B39" s="78"/>
      <c r="C39" s="78"/>
      <c r="D39" s="76"/>
      <c r="E39" s="78"/>
      <c r="F39" s="78"/>
      <c r="G39" s="78"/>
      <c r="H39" s="78"/>
      <c r="I39" s="78"/>
      <c r="J39" s="78"/>
      <c r="K39" s="78"/>
      <c r="L39" s="78"/>
      <c r="M39" s="78"/>
      <c r="N39" s="113"/>
      <c r="O39" s="78"/>
      <c r="P39" s="78"/>
      <c r="Q39" s="78"/>
    </row>
    <row r="40" spans="1:17" ht="13" x14ac:dyDescent="0.15">
      <c r="A40" s="113"/>
      <c r="B40" s="78"/>
      <c r="C40" s="78"/>
      <c r="D40" s="76"/>
      <c r="E40" s="78"/>
      <c r="F40" s="78"/>
      <c r="G40" s="78"/>
      <c r="H40" s="78"/>
      <c r="I40" s="78"/>
      <c r="J40" s="78"/>
      <c r="K40" s="78"/>
      <c r="L40" s="78"/>
      <c r="M40" s="78"/>
      <c r="N40" s="113"/>
      <c r="O40" s="78"/>
      <c r="P40" s="78"/>
      <c r="Q40" s="78"/>
    </row>
    <row r="41" spans="1:17" ht="13" x14ac:dyDescent="0.15">
      <c r="A41" s="113"/>
      <c r="B41" s="78"/>
      <c r="C41" s="78"/>
      <c r="D41" s="76"/>
      <c r="E41" s="78"/>
      <c r="F41" s="78"/>
      <c r="G41" s="78"/>
      <c r="H41" s="78"/>
      <c r="I41" s="78"/>
      <c r="J41" s="78"/>
      <c r="K41" s="78"/>
      <c r="L41" s="78"/>
      <c r="M41" s="78"/>
      <c r="N41" s="113"/>
      <c r="O41" s="78"/>
      <c r="P41" s="78"/>
      <c r="Q41" s="78"/>
    </row>
    <row r="42" spans="1:17" ht="13" x14ac:dyDescent="0.15">
      <c r="A42" s="113"/>
      <c r="B42" s="78"/>
      <c r="C42" s="78"/>
      <c r="D42" s="76"/>
      <c r="E42" s="78"/>
      <c r="F42" s="78"/>
      <c r="G42" s="78"/>
      <c r="H42" s="78"/>
      <c r="I42" s="78"/>
      <c r="J42" s="78"/>
      <c r="K42" s="78"/>
      <c r="L42" s="78"/>
      <c r="M42" s="78"/>
      <c r="N42" s="113"/>
      <c r="O42" s="78"/>
      <c r="P42" s="78"/>
      <c r="Q42" s="78"/>
    </row>
    <row r="43" spans="1:17" ht="13" x14ac:dyDescent="0.15">
      <c r="A43" s="113"/>
      <c r="B43" s="78"/>
      <c r="C43" s="78"/>
      <c r="D43" s="76"/>
      <c r="E43" s="78"/>
      <c r="F43" s="78"/>
      <c r="G43" s="78"/>
      <c r="H43" s="78"/>
      <c r="I43" s="78"/>
      <c r="J43" s="78"/>
      <c r="K43" s="78"/>
      <c r="L43" s="78"/>
      <c r="M43" s="78"/>
      <c r="N43" s="113"/>
      <c r="O43" s="78"/>
      <c r="P43" s="78"/>
      <c r="Q43" s="78"/>
    </row>
    <row r="44" spans="1:17" ht="13" x14ac:dyDescent="0.15">
      <c r="A44" s="113"/>
      <c r="B44" s="78"/>
      <c r="C44" s="78"/>
      <c r="D44" s="76"/>
      <c r="E44" s="78"/>
      <c r="F44" s="78"/>
      <c r="G44" s="78"/>
      <c r="H44" s="78"/>
      <c r="I44" s="78"/>
      <c r="J44" s="78"/>
      <c r="K44" s="78"/>
      <c r="L44" s="78"/>
      <c r="M44" s="78"/>
      <c r="N44" s="113"/>
      <c r="O44" s="78"/>
      <c r="P44" s="78"/>
      <c r="Q44" s="78"/>
    </row>
    <row r="45" spans="1:17" ht="13" x14ac:dyDescent="0.15">
      <c r="A45" s="113"/>
      <c r="B45" s="78"/>
      <c r="C45" s="78"/>
      <c r="D45" s="76"/>
      <c r="E45" s="78"/>
      <c r="F45" s="78"/>
      <c r="G45" s="78"/>
      <c r="H45" s="78"/>
      <c r="I45" s="78"/>
      <c r="J45" s="78"/>
      <c r="K45" s="78"/>
      <c r="L45" s="78"/>
      <c r="M45" s="78"/>
      <c r="N45" s="113"/>
      <c r="O45" s="78"/>
      <c r="P45" s="78"/>
      <c r="Q45" s="78"/>
    </row>
    <row r="46" spans="1:17" ht="13" x14ac:dyDescent="0.15">
      <c r="A46" s="113"/>
      <c r="B46" s="78"/>
      <c r="C46" s="78"/>
      <c r="D46" s="76"/>
      <c r="E46" s="78"/>
      <c r="F46" s="78"/>
      <c r="G46" s="78"/>
      <c r="H46" s="78"/>
      <c r="I46" s="78"/>
      <c r="J46" s="78"/>
      <c r="K46" s="78"/>
      <c r="L46" s="78"/>
      <c r="M46" s="78"/>
      <c r="N46" s="113"/>
      <c r="O46" s="78"/>
      <c r="P46" s="78"/>
      <c r="Q46" s="78"/>
    </row>
    <row r="47" spans="1:17" ht="13" x14ac:dyDescent="0.15">
      <c r="A47" s="113"/>
      <c r="B47" s="78"/>
      <c r="C47" s="78"/>
      <c r="D47" s="76"/>
      <c r="E47" s="78"/>
      <c r="F47" s="78"/>
      <c r="G47" s="78"/>
      <c r="H47" s="78"/>
      <c r="I47" s="78"/>
      <c r="J47" s="78"/>
      <c r="K47" s="78"/>
      <c r="L47" s="78"/>
      <c r="M47" s="78"/>
      <c r="N47" s="113"/>
      <c r="O47" s="78"/>
      <c r="P47" s="78"/>
      <c r="Q47" s="78"/>
    </row>
    <row r="48" spans="1:17" ht="13" x14ac:dyDescent="0.15">
      <c r="A48" s="113"/>
      <c r="B48" s="78"/>
      <c r="C48" s="78"/>
      <c r="D48" s="76"/>
      <c r="E48" s="78"/>
      <c r="F48" s="78"/>
      <c r="G48" s="78"/>
      <c r="H48" s="78"/>
      <c r="I48" s="78"/>
      <c r="J48" s="78"/>
      <c r="K48" s="78"/>
      <c r="L48" s="78"/>
      <c r="M48" s="78"/>
      <c r="N48" s="113"/>
      <c r="O48" s="78"/>
      <c r="P48" s="78"/>
      <c r="Q48" s="78"/>
    </row>
    <row r="49" spans="2:17" ht="12.75" customHeight="1" x14ac:dyDescent="0.15">
      <c r="B49" s="78"/>
      <c r="C49" s="78"/>
      <c r="D49" s="76"/>
      <c r="E49" s="78"/>
      <c r="F49" s="78"/>
      <c r="G49" s="78"/>
      <c r="H49" s="78"/>
      <c r="I49" s="78"/>
      <c r="J49" s="78"/>
      <c r="K49" s="78"/>
      <c r="L49" s="78"/>
      <c r="M49" s="78"/>
      <c r="N49" s="113"/>
      <c r="O49" s="78"/>
      <c r="P49" s="78"/>
      <c r="Q49" s="78"/>
    </row>
    <row r="50" spans="2:17" ht="12.75" customHeight="1" x14ac:dyDescent="0.15">
      <c r="B50" s="78"/>
      <c r="C50" s="78"/>
      <c r="D50" s="76"/>
      <c r="E50" s="78"/>
      <c r="F50" s="78"/>
      <c r="G50" s="78"/>
      <c r="H50" s="78"/>
      <c r="I50" s="78"/>
      <c r="J50" s="78"/>
      <c r="K50" s="78"/>
      <c r="L50" s="78"/>
      <c r="M50" s="78"/>
      <c r="N50" s="113"/>
      <c r="O50" s="78"/>
      <c r="P50" s="78"/>
      <c r="Q50" s="78"/>
    </row>
    <row r="51" spans="2:17" ht="12.75" customHeight="1" x14ac:dyDescent="0.15">
      <c r="B51" s="78"/>
      <c r="C51" s="78"/>
      <c r="D51" s="76"/>
      <c r="E51" s="78"/>
      <c r="F51" s="78"/>
      <c r="G51" s="78"/>
      <c r="H51" s="78"/>
      <c r="I51" s="78"/>
      <c r="J51" s="78"/>
      <c r="K51" s="78"/>
      <c r="L51" s="78"/>
      <c r="M51" s="78"/>
      <c r="N51" s="113"/>
      <c r="O51" s="78"/>
      <c r="P51" s="78"/>
      <c r="Q51" s="78"/>
    </row>
    <row r="52" spans="2:17" ht="12.75" customHeight="1" x14ac:dyDescent="0.15">
      <c r="B52" s="78"/>
      <c r="C52" s="78"/>
      <c r="D52" s="76"/>
      <c r="E52" s="78"/>
      <c r="F52" s="78"/>
      <c r="G52" s="78"/>
      <c r="H52" s="78"/>
      <c r="I52" s="78"/>
      <c r="J52" s="78"/>
      <c r="K52" s="78"/>
      <c r="L52" s="78"/>
      <c r="M52" s="78"/>
      <c r="N52" s="113"/>
      <c r="O52" s="78"/>
      <c r="P52" s="78"/>
      <c r="Q52" s="78"/>
    </row>
    <row r="53" spans="2:17" ht="12.75" customHeight="1" x14ac:dyDescent="0.15">
      <c r="B53" s="78"/>
      <c r="C53" s="78"/>
      <c r="D53" s="76"/>
      <c r="E53" s="78"/>
      <c r="F53" s="78"/>
      <c r="G53" s="78"/>
      <c r="H53" s="78"/>
      <c r="I53" s="78"/>
      <c r="J53" s="78"/>
      <c r="K53" s="78"/>
      <c r="L53" s="78"/>
      <c r="M53" s="78"/>
      <c r="N53" s="113"/>
      <c r="O53" s="78"/>
      <c r="P53" s="78"/>
      <c r="Q53" s="78"/>
    </row>
  </sheetData>
  <mergeCells count="5">
    <mergeCell ref="O4:Q4"/>
    <mergeCell ref="B5:C5"/>
    <mergeCell ref="E5:J5"/>
    <mergeCell ref="L5:M5"/>
    <mergeCell ref="O5:Q5"/>
  </mergeCells>
  <pageMargins left="0.7" right="0.7" top="0.75" bottom="0.75" header="0.3" footer="0.3"/>
  <pageSetup scale="6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J47"/>
  <sheetViews>
    <sheetView workbookViewId="0">
      <selection activeCell="A4" sqref="A4"/>
    </sheetView>
  </sheetViews>
  <sheetFormatPr baseColWidth="10" defaultColWidth="8.83203125" defaultRowHeight="13" x14ac:dyDescent="0.15"/>
  <cols>
    <col min="1" max="1" width="52.6640625" bestFit="1" customWidth="1"/>
    <col min="3" max="3" width="12.1640625" bestFit="1" customWidth="1"/>
    <col min="4" max="8" width="12.5" bestFit="1" customWidth="1"/>
  </cols>
  <sheetData>
    <row r="1" spans="1:36" x14ac:dyDescent="0.15">
      <c r="A1" s="29" t="str">
        <f>+'Summary Cash Flow'!A1</f>
        <v>ABC Construction Company</v>
      </c>
    </row>
    <row r="2" spans="1:36" ht="20" x14ac:dyDescent="0.2">
      <c r="A2" s="137" t="s">
        <v>104</v>
      </c>
      <c r="C2" s="142" t="s">
        <v>84</v>
      </c>
      <c r="D2" s="142"/>
      <c r="E2" s="142"/>
      <c r="F2" s="142"/>
      <c r="G2" s="142"/>
      <c r="H2" s="142"/>
      <c r="V2" s="38" t="s">
        <v>84</v>
      </c>
      <c r="AJ2" s="38" t="s">
        <v>90</v>
      </c>
    </row>
    <row r="3" spans="1:36" x14ac:dyDescent="0.15">
      <c r="A3" s="54"/>
    </row>
    <row r="4" spans="1:36" x14ac:dyDescent="0.15">
      <c r="A4" s="54"/>
    </row>
    <row r="5" spans="1:36" x14ac:dyDescent="0.15">
      <c r="A5" s="54"/>
    </row>
    <row r="6" spans="1:36" x14ac:dyDescent="0.15">
      <c r="A6" s="3"/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</row>
    <row r="7" spans="1:36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</row>
    <row r="8" spans="1:36" x14ac:dyDescent="0.15">
      <c r="C8" s="41"/>
      <c r="D8" s="41"/>
      <c r="E8" s="41"/>
      <c r="F8" s="41"/>
      <c r="G8" s="41"/>
      <c r="H8" s="41"/>
    </row>
    <row r="9" spans="1:36" x14ac:dyDescent="0.15">
      <c r="C9" s="41"/>
      <c r="D9" s="41"/>
      <c r="E9" s="41"/>
      <c r="F9" s="41"/>
      <c r="G9" s="41"/>
      <c r="H9" s="41"/>
    </row>
    <row r="10" spans="1:36" x14ac:dyDescent="0.15">
      <c r="A10" s="96" t="s">
        <v>167</v>
      </c>
      <c r="B10" s="90"/>
      <c r="C10" s="99">
        <v>0</v>
      </c>
      <c r="D10" s="99">
        <f t="shared" ref="D10:H10" si="0">+D11-C11</f>
        <v>-2</v>
      </c>
      <c r="E10" s="99">
        <f t="shared" si="0"/>
        <v>3</v>
      </c>
      <c r="F10" s="99">
        <f t="shared" si="0"/>
        <v>2</v>
      </c>
      <c r="G10" s="99">
        <f t="shared" si="0"/>
        <v>-1</v>
      </c>
      <c r="H10" s="99">
        <f t="shared" si="0"/>
        <v>-2</v>
      </c>
    </row>
    <row r="11" spans="1:36" x14ac:dyDescent="0.15">
      <c r="A11" s="54" t="s">
        <v>112</v>
      </c>
      <c r="C11" s="50">
        <f>+'[1]IS Actual &amp; Forecast'!Q9</f>
        <v>15</v>
      </c>
      <c r="D11" s="50">
        <f>+'[1]IS Actual &amp; Forecast'!R9</f>
        <v>13</v>
      </c>
      <c r="E11" s="50">
        <f>+'[1]IS Actual &amp; Forecast'!S9</f>
        <v>16</v>
      </c>
      <c r="F11" s="50">
        <f>+'[1]IS Actual &amp; Forecast'!T9</f>
        <v>18</v>
      </c>
      <c r="G11" s="50">
        <f>+'[1]IS Actual &amp; Forecast'!U9</f>
        <v>17</v>
      </c>
      <c r="H11" s="50">
        <f>+'[1]IS Actual &amp; Forecast'!V9</f>
        <v>15</v>
      </c>
    </row>
    <row r="12" spans="1:36" x14ac:dyDescent="0.15">
      <c r="C12" s="41"/>
      <c r="D12" s="41"/>
      <c r="E12" s="41"/>
      <c r="F12" s="41"/>
      <c r="G12" s="41"/>
      <c r="H12" s="41"/>
    </row>
    <row r="13" spans="1:36" x14ac:dyDescent="0.15">
      <c r="A13" s="96" t="s">
        <v>121</v>
      </c>
      <c r="B13" s="90"/>
      <c r="C13" s="118">
        <f>(+'[1]IS Actual &amp; Forecast'!Q10-'[1]IS Actual &amp; Forecast'!C10)/'[1]IS Actual &amp; Forecast'!C10</f>
        <v>0.10066560758000044</v>
      </c>
      <c r="D13" s="118">
        <f>(+'[1]IS Actual &amp; Forecast'!R10-'[1]IS Actual &amp; Forecast'!D10)/'[1]IS Actual &amp; Forecast'!D10</f>
        <v>0.47104042034447513</v>
      </c>
      <c r="E13" s="118">
        <f>(+'[1]IS Actual &amp; Forecast'!S10-'[1]IS Actual &amp; Forecast'!E10)/'[1]IS Actual &amp; Forecast'!E10</f>
        <v>-0.11159510618124986</v>
      </c>
      <c r="F13" s="118">
        <f>(+'[1]IS Actual &amp; Forecast'!T10-'[1]IS Actual &amp; Forecast'!F10)/'[1]IS Actual &amp; Forecast'!F10</f>
        <v>-6.0371099081124917E-2</v>
      </c>
      <c r="G13" s="118">
        <f>(+'[1]IS Actual &amp; Forecast'!U10-'[1]IS Actual &amp; Forecast'!G10)/'[1]IS Actual &amp; Forecast'!G10</f>
        <v>-0.17824476382352944</v>
      </c>
      <c r="H13" s="118">
        <f>(+'[1]IS Actual &amp; Forecast'!V10-'[1]IS Actual &amp; Forecast'!H10)/'[1]IS Actual &amp; Forecast'!H10</f>
        <v>-0.20609256351540928</v>
      </c>
    </row>
    <row r="14" spans="1:36" x14ac:dyDescent="0.15">
      <c r="A14" s="54" t="s">
        <v>113</v>
      </c>
      <c r="C14" s="56">
        <f>+'[1]IS Actual &amp; Forecast'!Q10</f>
        <v>142591.66972823208</v>
      </c>
      <c r="D14" s="56">
        <f>+'[1]IS Actual &amp; Forecast'!R10</f>
        <v>196529.30846153849</v>
      </c>
      <c r="E14" s="56">
        <f>+'[1]IS Actual &amp; Forecast'!S10</f>
        <v>138358.47953317518</v>
      </c>
      <c r="F14" s="56">
        <f>+'[1]IS Actual &amp; Forecast'!T10</f>
        <v>108227.07732372814</v>
      </c>
      <c r="G14" s="56">
        <f>+'[1]IS Actual &amp; Forecast'!U10</f>
        <v>108863.70719033829</v>
      </c>
      <c r="H14" s="56">
        <f>+'[1]IS Actual &amp; Forecast'!V10</f>
        <v>102081.14488983572</v>
      </c>
    </row>
    <row r="15" spans="1:36" x14ac:dyDescent="0.15">
      <c r="A15" s="54" t="s">
        <v>16</v>
      </c>
      <c r="C15" s="119">
        <f>+'[1]IS Actual &amp; Forecast'!Q13</f>
        <v>2138875.0459234812</v>
      </c>
      <c r="D15" s="119">
        <f>+'[1]IS Actual &amp; Forecast'!R13</f>
        <v>2554881.0100000002</v>
      </c>
      <c r="E15" s="119">
        <f>+'[1]IS Actual &amp; Forecast'!S13</f>
        <v>2213735.6725308029</v>
      </c>
      <c r="F15" s="119">
        <f>+'[1]IS Actual &amp; Forecast'!T13</f>
        <v>1948087.3918271065</v>
      </c>
      <c r="G15" s="119">
        <f>+'[1]IS Actual &amp; Forecast'!U13</f>
        <v>1850683.0222357509</v>
      </c>
      <c r="H15" s="119">
        <f>+'[1]IS Actual &amp; Forecast'!V13</f>
        <v>1531217.1733475358</v>
      </c>
    </row>
    <row r="16" spans="1:36" x14ac:dyDescent="0.15">
      <c r="A16" s="54"/>
      <c r="C16" s="119"/>
      <c r="D16" s="119"/>
      <c r="E16" s="119"/>
      <c r="F16" s="119"/>
      <c r="G16" s="119"/>
      <c r="H16" s="119"/>
    </row>
    <row r="17" spans="1:8" x14ac:dyDescent="0.15">
      <c r="A17" s="96" t="s">
        <v>122</v>
      </c>
      <c r="B17" s="90"/>
      <c r="C17" s="120">
        <f>+'[1]IS Actual &amp; Forecast'!Q21</f>
        <v>0.14100000000000001</v>
      </c>
      <c r="D17" s="120">
        <f>+'[1]IS Actual &amp; Forecast'!R21</f>
        <v>0.16100000000000006</v>
      </c>
      <c r="E17" s="120">
        <f>+'[1]IS Actual &amp; Forecast'!S21</f>
        <v>0.159</v>
      </c>
      <c r="F17" s="120">
        <f>+'[1]IS Actual &amp; Forecast'!T21</f>
        <v>0.128</v>
      </c>
      <c r="G17" s="120">
        <f>+'[1]IS Actual &amp; Forecast'!U21</f>
        <v>0.15300000000000005</v>
      </c>
      <c r="H17" s="120">
        <f>+'[1]IS Actual &amp; Forecast'!V21</f>
        <v>0.14899999999999999</v>
      </c>
    </row>
    <row r="18" spans="1:8" x14ac:dyDescent="0.15">
      <c r="A18" s="54"/>
      <c r="C18" s="119"/>
      <c r="D18" s="119"/>
      <c r="E18" s="119"/>
      <c r="F18" s="119"/>
      <c r="G18" s="119"/>
      <c r="H18" s="119"/>
    </row>
    <row r="20" spans="1:8" x14ac:dyDescent="0.15">
      <c r="A20" s="121" t="s">
        <v>215</v>
      </c>
      <c r="B20" s="90"/>
      <c r="C20" s="102">
        <f t="shared" ref="C20:H20" si="1">+C22/C21</f>
        <v>52.096003448477333</v>
      </c>
      <c r="D20" s="102">
        <f t="shared" si="1"/>
        <v>37.422207328842731</v>
      </c>
      <c r="E20" s="102">
        <f t="shared" si="1"/>
        <v>37.391807090727475</v>
      </c>
      <c r="F20" s="102">
        <f t="shared" si="1"/>
        <v>43.405233033586278</v>
      </c>
      <c r="G20" s="102">
        <f t="shared" si="1"/>
        <v>46.676595631201749</v>
      </c>
      <c r="H20" s="102">
        <f t="shared" si="1"/>
        <v>48.066900710474755</v>
      </c>
    </row>
    <row r="21" spans="1:8" x14ac:dyDescent="0.15">
      <c r="A21" t="s">
        <v>108</v>
      </c>
      <c r="C21" s="122">
        <f>SUM('[1]IS Actual &amp; Forecast'!M13:N13)/60</f>
        <v>54723.304135651888</v>
      </c>
      <c r="D21" s="122">
        <f>SUM('[1]IS Actual &amp; Forecast'!Q13:R13)/60</f>
        <v>78229.267598724691</v>
      </c>
      <c r="E21" s="122">
        <f>SUM('[1]IS Actual &amp; Forecast'!R13:S13)/60</f>
        <v>79476.944708846728</v>
      </c>
      <c r="F21" s="122">
        <f>SUM('[1]IS Actual &amp; Forecast'!S13:T13)/60</f>
        <v>69363.717739298489</v>
      </c>
      <c r="G21" s="122">
        <f>SUM('[1]IS Actual &amp; Forecast'!T13:U13)/60</f>
        <v>63312.840234380958</v>
      </c>
      <c r="H21" s="122">
        <f>SUM('[1]IS Actual &amp; Forecast'!U13:V13)/60</f>
        <v>56365.003259721445</v>
      </c>
    </row>
    <row r="22" spans="1:8" x14ac:dyDescent="0.15">
      <c r="A22" s="54" t="s">
        <v>59</v>
      </c>
      <c r="C22" s="119">
        <f>+'[1]BS Actual &amp; Forecast'!Q11</f>
        <v>2850865.4409629945</v>
      </c>
      <c r="D22" s="119">
        <f>+'[1]BS Actual &amp; Forecast'!R11</f>
        <v>2927511.8712629946</v>
      </c>
      <c r="E22" s="119">
        <f>+'[1]BS Actual &amp; Forecast'!S11</f>
        <v>2971786.5847136108</v>
      </c>
      <c r="F22" s="119">
        <f>+'[1]BS Actual &amp; Forecast'!T11</f>
        <v>3010748.3325501531</v>
      </c>
      <c r="G22" s="119">
        <f>+'[1]BS Actual &amp; Forecast'!U11</f>
        <v>2955227.8418830805</v>
      </c>
      <c r="H22" s="119">
        <f>+'[1]BS Actual &amp; Forecast'!V11</f>
        <v>2709291.0152306166</v>
      </c>
    </row>
    <row r="24" spans="1:8" x14ac:dyDescent="0.15">
      <c r="A24" s="121" t="s">
        <v>216</v>
      </c>
      <c r="B24" s="90"/>
      <c r="C24" s="102">
        <f t="shared" ref="C24:H24" si="2">+C26/C25</f>
        <v>5.2664640346391716</v>
      </c>
      <c r="D24" s="102">
        <f t="shared" si="2"/>
        <v>2.6957682556309819</v>
      </c>
      <c r="E24" s="102">
        <f t="shared" si="2"/>
        <v>2.1215198755547622</v>
      </c>
      <c r="F24" s="102">
        <f t="shared" si="2"/>
        <v>1.814033832521974</v>
      </c>
      <c r="G24" s="102">
        <f t="shared" si="2"/>
        <v>2.8412886728101263</v>
      </c>
      <c r="H24" s="102">
        <f t="shared" si="2"/>
        <v>4.0500003531790565</v>
      </c>
    </row>
    <row r="25" spans="1:8" x14ac:dyDescent="0.15">
      <c r="A25" s="54" t="s">
        <v>107</v>
      </c>
      <c r="C25" s="122">
        <f>SUM('[1]IS for importing to SW'!M18:N18)/60</f>
        <v>46172.030414186447</v>
      </c>
      <c r="D25" s="122">
        <f>SUM('[1]IS for importing to SW'!Q18:R18)/60</f>
        <v>66347.313863971183</v>
      </c>
      <c r="E25" s="122">
        <f>SUM('[1]IS for importing to SW'!R18:S18)/60</f>
        <v>66754.94779980676</v>
      </c>
      <c r="F25" s="122">
        <f>SUM('[1]IS for importing to SW'!S18:T18)/60</f>
        <v>59341.398437860698</v>
      </c>
      <c r="G25" s="122">
        <f>SUM('[1]IS for importing to SW'!T18:U18)/60</f>
        <v>54437.678758448623</v>
      </c>
      <c r="H25" s="122">
        <f>SUM('[1]IS for importing to SW'!U18:V18)/60</f>
        <v>47843.238905873892</v>
      </c>
    </row>
    <row r="26" spans="1:8" x14ac:dyDescent="0.15">
      <c r="A26" s="54" t="s">
        <v>60</v>
      </c>
      <c r="C26" s="119">
        <f>+'[1]BS Actual &amp; Forecast'!Q12</f>
        <v>243163.33758257888</v>
      </c>
      <c r="D26" s="119">
        <f>+'[1]BS Actual &amp; Forecast'!R12</f>
        <v>178856.98256087885</v>
      </c>
      <c r="E26" s="119">
        <f>+'[1]BS Actual &amp; Forecast'!S12</f>
        <v>141621.94854891067</v>
      </c>
      <c r="F26" s="119">
        <f>+'[1]BS Actual &amp; Forecast'!T12</f>
        <v>107647.30443544593</v>
      </c>
      <c r="G26" s="119">
        <f>+'[1]BS Actual &amp; Forecast'!U12</f>
        <v>154673.16003045649</v>
      </c>
      <c r="H26" s="119">
        <f>+'[1]BS Actual &amp; Forecast'!V12</f>
        <v>193765.13446601923</v>
      </c>
    </row>
    <row r="28" spans="1:8" x14ac:dyDescent="0.15">
      <c r="A28" s="96" t="s">
        <v>38</v>
      </c>
      <c r="B28" s="90"/>
      <c r="C28" s="123">
        <f>+'[1]POM Actual &amp; Forecast'!Q51</f>
        <v>-11250</v>
      </c>
      <c r="D28" s="123">
        <f>+'[1]POM Actual &amp; Forecast'!R51</f>
        <v>0</v>
      </c>
      <c r="E28" s="123">
        <f>+'[1]POM Actual &amp; Forecast'!S51</f>
        <v>-18752</v>
      </c>
      <c r="F28" s="123">
        <f>+'[1]POM Actual &amp; Forecast'!T51</f>
        <v>0</v>
      </c>
      <c r="G28" s="123">
        <f>+'[1]POM Actual &amp; Forecast'!U51</f>
        <v>0</v>
      </c>
      <c r="H28" s="123">
        <f>+'[1]POM Actual &amp; Forecast'!V51</f>
        <v>0</v>
      </c>
    </row>
    <row r="30" spans="1:8" x14ac:dyDescent="0.15">
      <c r="A30" s="121" t="s">
        <v>221</v>
      </c>
      <c r="B30" s="90"/>
      <c r="C30" s="102">
        <f t="shared" ref="C30:H30" si="3">+C32/C31</f>
        <v>27.960523367555599</v>
      </c>
      <c r="D30" s="102">
        <f t="shared" si="3"/>
        <v>23.556951370930655</v>
      </c>
      <c r="E30" s="102">
        <f t="shared" si="3"/>
        <v>25.830342870390677</v>
      </c>
      <c r="F30" s="102">
        <f t="shared" si="3"/>
        <v>26.434623862124017</v>
      </c>
      <c r="G30" s="102">
        <f t="shared" si="3"/>
        <v>26.511625795856965</v>
      </c>
      <c r="H30" s="102">
        <f t="shared" si="3"/>
        <v>24.924288025363911</v>
      </c>
    </row>
    <row r="31" spans="1:8" x14ac:dyDescent="0.15">
      <c r="A31" s="54" t="s">
        <v>109</v>
      </c>
      <c r="C31" s="122">
        <f>(SUM('[1]IS Actual &amp; Forecast'!M18:N18)+SUM('[1]IS Actual &amp; Forecast'!M24:N35))/60</f>
        <v>47976.153957902599</v>
      </c>
      <c r="D31" s="122">
        <f>(SUM('[1]IS Actual &amp; Forecast'!Q18:R18)+SUM('[1]IS Actual &amp; Forecast'!Q24:R35))/60</f>
        <v>68363.530936887852</v>
      </c>
      <c r="E31" s="122">
        <f>(SUM('[1]IS Actual &amp; Forecast'!R18:S18)+SUM('[1]IS Actual &amp; Forecast'!R24:S35))/60</f>
        <v>68824.846141056754</v>
      </c>
      <c r="F31" s="122">
        <f>(SUM('[1]IS Actual &amp; Forecast'!S18:T18)+SUM('[1]IS Actual &amp; Forecast'!S24:T35))/60</f>
        <v>61362.839267450217</v>
      </c>
      <c r="G31" s="122">
        <f>(SUM('[1]IS Actual &amp; Forecast'!T18:U18)+SUM('[1]IS Actual &amp; Forecast'!T24:U35))/60</f>
        <v>56458.944012671127</v>
      </c>
      <c r="H31" s="122">
        <f>(SUM('[1]IS Actual &amp; Forecast'!U18:V18)+SUM('[1]IS Actual &amp; Forecast'!U24:V35))/60</f>
        <v>49922.606373226146</v>
      </c>
    </row>
    <row r="32" spans="1:8" x14ac:dyDescent="0.15">
      <c r="A32" s="54" t="s">
        <v>103</v>
      </c>
      <c r="C32" s="119">
        <f>+'[1]BS Actual &amp; Forecast'!Q31</f>
        <v>1341438.3738253806</v>
      </c>
      <c r="D32" s="119">
        <f>+'[1]BS Actual &amp; Forecast'!R31</f>
        <v>1610436.3738253806</v>
      </c>
      <c r="E32" s="119">
        <f>+'[1]BS Actual &amp; Forecast'!S31</f>
        <v>1777769.3738253806</v>
      </c>
      <c r="F32" s="119">
        <f>+'[1]BS Actual &amp; Forecast'!T31</f>
        <v>1622103.5751470202</v>
      </c>
      <c r="G32" s="119">
        <f>+'[1]BS Actual &amp; Forecast'!U31</f>
        <v>1496818.396493176</v>
      </c>
      <c r="H32" s="119">
        <f>+'[1]BS Actual &amp; Forecast'!V31</f>
        <v>1244285.4202231565</v>
      </c>
    </row>
    <row r="34" spans="1:8" x14ac:dyDescent="0.15">
      <c r="A34" s="90" t="s">
        <v>170</v>
      </c>
      <c r="B34" s="90"/>
      <c r="C34" s="104">
        <f>+'[1]POM Actual &amp; Forecast'!Q43</f>
        <v>-10000</v>
      </c>
      <c r="D34" s="104">
        <f>+'[1]POM Actual &amp; Forecast'!R43</f>
        <v>-10000</v>
      </c>
      <c r="E34" s="104">
        <f>+'[1]POM Actual &amp; Forecast'!S43</f>
        <v>-10000</v>
      </c>
      <c r="F34" s="104">
        <f>+'[1]POM Actual &amp; Forecast'!T43</f>
        <v>-10000</v>
      </c>
      <c r="G34" s="104">
        <f>+'[1]POM Actual &amp; Forecast'!U43</f>
        <v>-10000</v>
      </c>
      <c r="H34" s="104">
        <f>+'[1]POM Actual &amp; Forecast'!V43</f>
        <v>-10000</v>
      </c>
    </row>
    <row r="35" spans="1:8" x14ac:dyDescent="0.15">
      <c r="A35" s="90" t="s">
        <v>171</v>
      </c>
      <c r="B35" s="90"/>
      <c r="C35" s="104">
        <f>+'[1]POM Actual &amp; Forecast'!Q44</f>
        <v>-5000</v>
      </c>
      <c r="D35" s="104">
        <f>+'[1]POM Actual &amp; Forecast'!R44</f>
        <v>-5000</v>
      </c>
      <c r="E35" s="104">
        <f>+'[1]POM Actual &amp; Forecast'!S44</f>
        <v>-5000</v>
      </c>
      <c r="F35" s="104">
        <f>+'[1]POM Actual &amp; Forecast'!T44</f>
        <v>-5000</v>
      </c>
      <c r="G35" s="104">
        <f>+'[1]POM Actual &amp; Forecast'!U44</f>
        <v>-5000</v>
      </c>
      <c r="H35" s="104">
        <f>+'[1]POM Actual &amp; Forecast'!V44</f>
        <v>-5000</v>
      </c>
    </row>
    <row r="38" spans="1:8" x14ac:dyDescent="0.15">
      <c r="A38" s="96" t="s">
        <v>96</v>
      </c>
      <c r="B38" s="90"/>
      <c r="C38" s="124">
        <f>+'[1]POM Actual &amp; Forecast'!Q64</f>
        <v>-100000</v>
      </c>
      <c r="D38" s="124">
        <f>+'[1]POM Actual &amp; Forecast'!R64</f>
        <v>-100000</v>
      </c>
      <c r="E38" s="124">
        <f>+'[1]POM Actual &amp; Forecast'!S64</f>
        <v>-100000</v>
      </c>
      <c r="F38" s="124">
        <f>+'[1]POM Actual &amp; Forecast'!T64</f>
        <v>-100000</v>
      </c>
      <c r="G38" s="124">
        <f>+'[1]POM Actual &amp; Forecast'!U64</f>
        <v>-100000</v>
      </c>
      <c r="H38" s="124">
        <f>+'[1]POM Actual &amp; Forecast'!V64</f>
        <v>-100000</v>
      </c>
    </row>
    <row r="40" spans="1:8" x14ac:dyDescent="0.15">
      <c r="A40" s="121" t="s">
        <v>217</v>
      </c>
      <c r="B40" s="90"/>
      <c r="C40" s="120">
        <f t="shared" ref="C40:H40" si="4">+C42/C41</f>
        <v>0.22621118029235879</v>
      </c>
      <c r="D40" s="120">
        <f t="shared" si="4"/>
        <v>0.1740643362491083</v>
      </c>
      <c r="E40" s="120">
        <f t="shared" si="4"/>
        <v>0.17647172217554391</v>
      </c>
      <c r="F40" s="120">
        <f t="shared" si="4"/>
        <v>0.18602518812552782</v>
      </c>
      <c r="G40" s="120">
        <f t="shared" si="4"/>
        <v>0.19972774277533359</v>
      </c>
      <c r="H40" s="120">
        <f t="shared" si="4"/>
        <v>0.2131298401584123</v>
      </c>
    </row>
    <row r="41" spans="1:8" x14ac:dyDescent="0.15">
      <c r="A41" s="125" t="s">
        <v>218</v>
      </c>
      <c r="C41" s="23">
        <f t="shared" ref="C41:H41" si="5">+C21*60</f>
        <v>3283398.2481391132</v>
      </c>
      <c r="D41" s="23">
        <f t="shared" si="5"/>
        <v>4693756.0559234815</v>
      </c>
      <c r="E41" s="23">
        <f t="shared" si="5"/>
        <v>4768616.6825308036</v>
      </c>
      <c r="F41" s="23">
        <f t="shared" si="5"/>
        <v>4161823.0643579094</v>
      </c>
      <c r="G41" s="23">
        <f t="shared" si="5"/>
        <v>3798770.4140628576</v>
      </c>
      <c r="H41" s="23">
        <f t="shared" si="5"/>
        <v>3381900.1955832867</v>
      </c>
    </row>
    <row r="42" spans="1:8" x14ac:dyDescent="0.15">
      <c r="A42" s="54" t="s">
        <v>163</v>
      </c>
      <c r="C42" s="23">
        <f>+'[1]BS Actual &amp; Forecast'!Q33</f>
        <v>742741.39308141195</v>
      </c>
      <c r="D42" s="23">
        <f>+'[1]BS Actual &amp; Forecast'!R33</f>
        <v>817015.53238955326</v>
      </c>
      <c r="E42" s="23">
        <f>+'[1]BS Actual &amp; Forecast'!S33</f>
        <v>841525.99836123991</v>
      </c>
      <c r="F42" s="23">
        <f>+'[1]BS Actual &amp; Forecast'!T33</f>
        <v>774203.91849234072</v>
      </c>
      <c r="G42" s="23">
        <f>+'[1]BS Actual &amp; Forecast'!U33</f>
        <v>758719.84012249392</v>
      </c>
      <c r="H42" s="23">
        <f>+'[1]BS Actual &amp; Forecast'!V33</f>
        <v>720783.84811636922</v>
      </c>
    </row>
    <row r="44" spans="1:8" x14ac:dyDescent="0.15">
      <c r="A44" s="96" t="s">
        <v>164</v>
      </c>
      <c r="B44" s="90"/>
      <c r="C44" s="120">
        <f t="shared" ref="C44:H44" si="6">+C45/C42</f>
        <v>0.28000000000000003</v>
      </c>
      <c r="D44" s="120">
        <f t="shared" si="6"/>
        <v>0.39</v>
      </c>
      <c r="E44" s="120">
        <f t="shared" si="6"/>
        <v>0.4</v>
      </c>
      <c r="F44" s="120">
        <f t="shared" si="6"/>
        <v>0.33</v>
      </c>
      <c r="G44" s="120">
        <f t="shared" si="6"/>
        <v>0.33</v>
      </c>
      <c r="H44" s="120">
        <f t="shared" si="6"/>
        <v>0.31</v>
      </c>
    </row>
    <row r="45" spans="1:8" x14ac:dyDescent="0.15">
      <c r="A45" s="54" t="s">
        <v>169</v>
      </c>
      <c r="C45" s="23">
        <f>+'[1]BS Actual &amp; Forecast'!Q13</f>
        <v>207967.59006279535</v>
      </c>
      <c r="D45" s="23">
        <f>+'[1]BS Actual &amp; Forecast'!R13</f>
        <v>318636.0576319258</v>
      </c>
      <c r="E45" s="23">
        <f>+'[1]BS Actual &amp; Forecast'!S13</f>
        <v>336610.39934449596</v>
      </c>
      <c r="F45" s="23">
        <f>+'[1]BS Actual &amp; Forecast'!T13</f>
        <v>255487.29310247244</v>
      </c>
      <c r="G45" s="23">
        <f>+'[1]BS Actual &amp; Forecast'!U13</f>
        <v>250377.54724042301</v>
      </c>
      <c r="H45" s="23">
        <f>+'[1]BS Actual &amp; Forecast'!V13</f>
        <v>223442.99291607447</v>
      </c>
    </row>
    <row r="47" spans="1:8" x14ac:dyDescent="0.15">
      <c r="A47" s="54" t="s">
        <v>105</v>
      </c>
      <c r="C47" s="31">
        <f>+'[1]BS Actuals'!Q10</f>
        <v>975031.52508366399</v>
      </c>
      <c r="D47" s="31">
        <f>+'[1]BS Actuals'!R10</f>
        <v>1323411.724154375</v>
      </c>
      <c r="E47" s="31">
        <f>+'[1]BS Actuals'!S10</f>
        <v>1523479.6571072412</v>
      </c>
      <c r="F47" s="31">
        <f>+'[1]BS Actuals'!T10</f>
        <v>1335275.4985574265</v>
      </c>
      <c r="G47" s="31">
        <f>+'[1]BS Actuals'!U10</f>
        <v>1176083.0876323741</v>
      </c>
      <c r="H47" s="31">
        <f>+'[1]BS Actuals'!V10</f>
        <v>1051408.8432631069</v>
      </c>
    </row>
  </sheetData>
  <mergeCells count="1">
    <mergeCell ref="C2:H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AQ51"/>
  <sheetViews>
    <sheetView workbookViewId="0">
      <pane xSplit="2" ySplit="7" topLeftCell="W8" activePane="bottomRight" state="frozen"/>
      <selection activeCell="AZ28" sqref="AZ28"/>
      <selection pane="topRight" activeCell="AZ28" sqref="AZ28"/>
      <selection pane="bottomLeft" activeCell="AZ28" sqref="AZ28"/>
      <selection pane="bottomRight" activeCell="A2" sqref="A2"/>
    </sheetView>
  </sheetViews>
  <sheetFormatPr baseColWidth="10" defaultColWidth="8.83203125" defaultRowHeight="13" x14ac:dyDescent="0.15"/>
  <cols>
    <col min="1" max="1" width="50.33203125" customWidth="1"/>
    <col min="3" max="3" width="12.33203125" hidden="1" customWidth="1"/>
    <col min="4" max="14" width="11.33203125" hidden="1" customWidth="1"/>
    <col min="15" max="15" width="13.33203125" hidden="1" customWidth="1"/>
    <col min="16" max="16" width="8.6640625" hidden="1" customWidth="1"/>
    <col min="17" max="17" width="12.1640625" hidden="1" customWidth="1"/>
    <col min="18" max="22" width="12.5" hidden="1" customWidth="1"/>
    <col min="23" max="23" width="12" customWidth="1"/>
    <col min="24" max="28" width="11.33203125" bestFit="1" customWidth="1"/>
    <col min="29" max="29" width="13.33203125" hidden="1" customWidth="1"/>
    <col min="30" max="30" width="4" hidden="1" customWidth="1"/>
    <col min="31" max="35" width="11.33203125" hidden="1" customWidth="1"/>
    <col min="36" max="36" width="12.5" hidden="1" customWidth="1"/>
    <col min="37" max="41" width="11.33203125" hidden="1" customWidth="1"/>
    <col min="42" max="42" width="12.33203125" hidden="1" customWidth="1"/>
    <col min="43" max="43" width="13" hidden="1" customWidth="1"/>
  </cols>
  <sheetData>
    <row r="1" spans="1:43" x14ac:dyDescent="0.15">
      <c r="A1" s="29" t="str">
        <f>+'Summary Cash Flow'!A1</f>
        <v>ABC Construction Company</v>
      </c>
    </row>
    <row r="2" spans="1:43" ht="20" x14ac:dyDescent="0.2">
      <c r="A2" s="137" t="s">
        <v>104</v>
      </c>
      <c r="H2" s="38" t="s">
        <v>82</v>
      </c>
      <c r="V2" s="38" t="s">
        <v>84</v>
      </c>
      <c r="W2" s="142" t="s">
        <v>219</v>
      </c>
      <c r="X2" s="142"/>
      <c r="Y2" s="142"/>
      <c r="Z2" s="142"/>
      <c r="AA2" s="142"/>
      <c r="AB2" s="142"/>
      <c r="AJ2" s="38" t="s">
        <v>90</v>
      </c>
    </row>
    <row r="3" spans="1:43" x14ac:dyDescent="0.15">
      <c r="A3" s="29"/>
      <c r="X3" t="s">
        <v>51</v>
      </c>
    </row>
    <row r="5" spans="1:43" x14ac:dyDescent="0.15">
      <c r="A5" s="29"/>
    </row>
    <row r="6" spans="1:43" x14ac:dyDescent="0.15">
      <c r="A6" s="3"/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47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  <c r="W6" s="47" t="s">
        <v>99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 t="s">
        <v>99</v>
      </c>
      <c r="AD6" s="36"/>
      <c r="AE6" s="47" t="s">
        <v>99</v>
      </c>
      <c r="AF6" s="47" t="s">
        <v>99</v>
      </c>
      <c r="AG6" s="47" t="s">
        <v>99</v>
      </c>
      <c r="AH6" s="47" t="s">
        <v>99</v>
      </c>
      <c r="AI6" s="47" t="s">
        <v>99</v>
      </c>
      <c r="AJ6" s="47" t="s">
        <v>99</v>
      </c>
      <c r="AK6" s="47" t="s">
        <v>99</v>
      </c>
      <c r="AL6" s="47" t="s">
        <v>99</v>
      </c>
      <c r="AM6" s="47" t="s">
        <v>99</v>
      </c>
      <c r="AN6" s="47" t="s">
        <v>99</v>
      </c>
      <c r="AO6" s="47" t="s">
        <v>99</v>
      </c>
      <c r="AP6" s="47" t="s">
        <v>99</v>
      </c>
      <c r="AQ6" s="47" t="s">
        <v>99</v>
      </c>
    </row>
    <row r="7" spans="1:43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P7" s="41"/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4" t="s">
        <v>84</v>
      </c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  <c r="AQ7" s="4" t="s">
        <v>90</v>
      </c>
    </row>
    <row r="8" spans="1:43" x14ac:dyDescent="0.15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</row>
    <row r="9" spans="1:43" x14ac:dyDescent="0.15"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</row>
    <row r="10" spans="1:43" x14ac:dyDescent="0.15">
      <c r="A10" s="96" t="s">
        <v>167</v>
      </c>
      <c r="B10" s="90"/>
      <c r="C10" s="99">
        <v>2</v>
      </c>
      <c r="D10" s="99">
        <f>+D11-C11</f>
        <v>1</v>
      </c>
      <c r="E10" s="99">
        <f t="shared" ref="E10:H10" si="0">+E11-D11</f>
        <v>-2</v>
      </c>
      <c r="F10" s="99">
        <f t="shared" si="0"/>
        <v>1</v>
      </c>
      <c r="G10" s="99">
        <f t="shared" si="0"/>
        <v>0</v>
      </c>
      <c r="H10" s="99">
        <f t="shared" si="0"/>
        <v>2</v>
      </c>
      <c r="I10" s="99">
        <v>2</v>
      </c>
      <c r="J10" s="99">
        <v>0</v>
      </c>
      <c r="K10" s="99">
        <v>-4</v>
      </c>
      <c r="L10" s="99">
        <v>-1</v>
      </c>
      <c r="M10" s="99">
        <v>1</v>
      </c>
      <c r="N10" s="99">
        <v>0</v>
      </c>
      <c r="O10" s="99">
        <f>SUM(C10:N10)</f>
        <v>2</v>
      </c>
      <c r="P10" s="41"/>
      <c r="Q10" s="99">
        <v>0</v>
      </c>
      <c r="R10" s="99">
        <f t="shared" ref="R10:V10" si="1">+R11-Q11</f>
        <v>-2</v>
      </c>
      <c r="S10" s="99">
        <f t="shared" si="1"/>
        <v>3</v>
      </c>
      <c r="T10" s="99">
        <f t="shared" si="1"/>
        <v>2</v>
      </c>
      <c r="U10" s="99">
        <f t="shared" si="1"/>
        <v>-1</v>
      </c>
      <c r="V10" s="99">
        <f t="shared" si="1"/>
        <v>-2</v>
      </c>
      <c r="W10" s="99">
        <v>2</v>
      </c>
      <c r="X10" s="99">
        <v>1</v>
      </c>
      <c r="Y10" s="99">
        <v>1</v>
      </c>
      <c r="Z10" s="99">
        <v>1</v>
      </c>
      <c r="AA10" s="99">
        <v>1</v>
      </c>
      <c r="AB10" s="99">
        <v>1</v>
      </c>
      <c r="AC10" s="99">
        <f>SUM(Q10:AB10)</f>
        <v>7</v>
      </c>
      <c r="AE10" s="99">
        <v>0</v>
      </c>
      <c r="AF10" s="99">
        <v>-2</v>
      </c>
      <c r="AG10" s="99">
        <v>-2</v>
      </c>
      <c r="AH10" s="99">
        <v>0</v>
      </c>
      <c r="AI10" s="99">
        <v>1</v>
      </c>
      <c r="AJ10" s="99">
        <v>2</v>
      </c>
      <c r="AK10" s="99">
        <v>1</v>
      </c>
      <c r="AL10" s="99">
        <v>1</v>
      </c>
      <c r="AM10" s="99">
        <v>-2</v>
      </c>
      <c r="AN10" s="99">
        <v>-1</v>
      </c>
      <c r="AO10" s="99">
        <v>0</v>
      </c>
      <c r="AP10" s="99">
        <v>-1</v>
      </c>
      <c r="AQ10" s="99">
        <f>SUM(AE10:AP10)</f>
        <v>-3</v>
      </c>
    </row>
    <row r="11" spans="1:43" x14ac:dyDescent="0.15">
      <c r="A11" s="54" t="s">
        <v>112</v>
      </c>
      <c r="C11" s="50">
        <f>+'IS Actual &amp; Forecast'!C9</f>
        <v>15</v>
      </c>
      <c r="D11" s="50">
        <f>+'IS Actual &amp; Forecast'!D9</f>
        <v>16</v>
      </c>
      <c r="E11" s="50">
        <f>+'IS Actual &amp; Forecast'!E9</f>
        <v>14</v>
      </c>
      <c r="F11" s="50">
        <f>+'IS Actual &amp; Forecast'!F9</f>
        <v>15</v>
      </c>
      <c r="G11" s="50">
        <f>+'IS Actual &amp; Forecast'!G9</f>
        <v>15</v>
      </c>
      <c r="H11" s="50">
        <f>+'IS Actual &amp; Forecast'!H9</f>
        <v>17</v>
      </c>
      <c r="I11" s="50">
        <f>+H11+I10</f>
        <v>19</v>
      </c>
      <c r="J11" s="50">
        <f t="shared" ref="J11:N11" si="2">+I11+J10</f>
        <v>19</v>
      </c>
      <c r="K11" s="50">
        <f t="shared" si="2"/>
        <v>15</v>
      </c>
      <c r="L11" s="50">
        <f t="shared" si="2"/>
        <v>14</v>
      </c>
      <c r="M11" s="50">
        <f t="shared" si="2"/>
        <v>15</v>
      </c>
      <c r="N11" s="50">
        <f t="shared" si="2"/>
        <v>15</v>
      </c>
      <c r="O11" s="50">
        <f>+N11</f>
        <v>15</v>
      </c>
      <c r="P11" s="41"/>
      <c r="Q11" s="50">
        <f>+'IS Actual &amp; Forecast'!Q9</f>
        <v>15</v>
      </c>
      <c r="R11" s="50">
        <f>+'IS Actual &amp; Forecast'!R9</f>
        <v>13</v>
      </c>
      <c r="S11" s="50">
        <f>+'IS Actual &amp; Forecast'!S9</f>
        <v>16</v>
      </c>
      <c r="T11" s="50">
        <f>+'IS Actual &amp; Forecast'!T9</f>
        <v>18</v>
      </c>
      <c r="U11" s="50">
        <f>+'IS Actual &amp; Forecast'!U9</f>
        <v>17</v>
      </c>
      <c r="V11" s="50">
        <f>+'IS Actual &amp; Forecast'!V9</f>
        <v>15</v>
      </c>
      <c r="W11" s="50">
        <f t="shared" ref="W11:AB11" si="3">+V11+W10</f>
        <v>17</v>
      </c>
      <c r="X11" s="50">
        <f t="shared" si="3"/>
        <v>18</v>
      </c>
      <c r="Y11" s="50">
        <f t="shared" si="3"/>
        <v>19</v>
      </c>
      <c r="Z11" s="50">
        <f t="shared" si="3"/>
        <v>20</v>
      </c>
      <c r="AA11" s="50">
        <f t="shared" si="3"/>
        <v>21</v>
      </c>
      <c r="AB11" s="50">
        <f t="shared" si="3"/>
        <v>22</v>
      </c>
      <c r="AC11" s="50">
        <f>+AB11</f>
        <v>22</v>
      </c>
      <c r="AE11" s="50">
        <f>+AB11+AE10</f>
        <v>22</v>
      </c>
      <c r="AF11" s="50">
        <f t="shared" ref="AF11:AP11" si="4">+AE11+AF10</f>
        <v>20</v>
      </c>
      <c r="AG11" s="50">
        <f t="shared" si="4"/>
        <v>18</v>
      </c>
      <c r="AH11" s="50">
        <f t="shared" si="4"/>
        <v>18</v>
      </c>
      <c r="AI11" s="50">
        <f t="shared" si="4"/>
        <v>19</v>
      </c>
      <c r="AJ11" s="50">
        <f t="shared" si="4"/>
        <v>21</v>
      </c>
      <c r="AK11" s="50">
        <f t="shared" si="4"/>
        <v>22</v>
      </c>
      <c r="AL11" s="50">
        <f t="shared" si="4"/>
        <v>23</v>
      </c>
      <c r="AM11" s="50">
        <f t="shared" si="4"/>
        <v>21</v>
      </c>
      <c r="AN11" s="50">
        <f t="shared" si="4"/>
        <v>20</v>
      </c>
      <c r="AO11" s="50">
        <f t="shared" si="4"/>
        <v>20</v>
      </c>
      <c r="AP11" s="50">
        <f t="shared" si="4"/>
        <v>19</v>
      </c>
      <c r="AQ11" s="50">
        <f>+AP11</f>
        <v>19</v>
      </c>
    </row>
    <row r="12" spans="1:43" x14ac:dyDescent="0.15"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1"/>
      <c r="X12" s="1"/>
      <c r="Y12" s="1"/>
      <c r="Z12" s="1"/>
      <c r="AA12" s="1"/>
      <c r="AB12" s="1"/>
      <c r="AC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</row>
    <row r="13" spans="1:43" x14ac:dyDescent="0.15">
      <c r="A13" s="96" t="s">
        <v>121</v>
      </c>
      <c r="B13" s="90"/>
      <c r="C13" s="98" t="s">
        <v>106</v>
      </c>
      <c r="D13" s="98" t="s">
        <v>106</v>
      </c>
      <c r="E13" s="98" t="s">
        <v>106</v>
      </c>
      <c r="F13" s="98" t="s">
        <v>106</v>
      </c>
      <c r="G13" s="98" t="s">
        <v>106</v>
      </c>
      <c r="H13" s="98" t="s">
        <v>106</v>
      </c>
      <c r="I13" s="98" t="s">
        <v>106</v>
      </c>
      <c r="J13" s="98" t="s">
        <v>106</v>
      </c>
      <c r="K13" s="98" t="s">
        <v>106</v>
      </c>
      <c r="L13" s="98" t="s">
        <v>106</v>
      </c>
      <c r="M13" s="98" t="s">
        <v>106</v>
      </c>
      <c r="N13" s="98" t="s">
        <v>106</v>
      </c>
      <c r="O13" s="98"/>
      <c r="P13" s="41"/>
      <c r="Q13" s="100">
        <f>(+'IS Actual &amp; Forecast'!Q10-'IS Actual &amp; Forecast'!C10)/'IS Actual &amp; Forecast'!C10</f>
        <v>0.10066560758000044</v>
      </c>
      <c r="R13" s="100">
        <f>(+'IS Actual &amp; Forecast'!R10-'IS Actual &amp; Forecast'!D10)/'IS Actual &amp; Forecast'!D10</f>
        <v>0.47104042034447513</v>
      </c>
      <c r="S13" s="100">
        <f>(+'IS Actual &amp; Forecast'!S10-'IS Actual &amp; Forecast'!E10)/'IS Actual &amp; Forecast'!E10</f>
        <v>-0.11159510618124986</v>
      </c>
      <c r="T13" s="100">
        <f>(+'IS Actual &amp; Forecast'!T10-'IS Actual &amp; Forecast'!F10)/'IS Actual &amp; Forecast'!F10</f>
        <v>-6.0371099081124917E-2</v>
      </c>
      <c r="U13" s="100">
        <f>(+'IS Actual &amp; Forecast'!U10-'IS Actual &amp; Forecast'!G10)/'IS Actual &amp; Forecast'!G10</f>
        <v>-0.17824476382352944</v>
      </c>
      <c r="V13" s="100">
        <f>(+'IS Actual &amp; Forecast'!V10-'IS Actual &amp; Forecast'!H10)/'IS Actual &amp; Forecast'!H10</f>
        <v>-0.20609256351540928</v>
      </c>
      <c r="W13" s="100">
        <v>0.03</v>
      </c>
      <c r="X13" s="100">
        <v>0.03</v>
      </c>
      <c r="Y13" s="100">
        <v>0.03</v>
      </c>
      <c r="Z13" s="100">
        <v>0.03</v>
      </c>
      <c r="AA13" s="100">
        <v>0.03</v>
      </c>
      <c r="AB13" s="100">
        <v>0.03</v>
      </c>
      <c r="AC13" s="98"/>
      <c r="AE13" s="100">
        <v>0.03</v>
      </c>
      <c r="AF13" s="100">
        <v>0.03</v>
      </c>
      <c r="AG13" s="100">
        <v>0.03</v>
      </c>
      <c r="AH13" s="100">
        <v>0.03</v>
      </c>
      <c r="AI13" s="100">
        <v>0.03</v>
      </c>
      <c r="AJ13" s="100">
        <v>0.03</v>
      </c>
      <c r="AK13" s="100">
        <v>0.03</v>
      </c>
      <c r="AL13" s="100">
        <v>0.03</v>
      </c>
      <c r="AM13" s="100">
        <v>0.03</v>
      </c>
      <c r="AN13" s="100">
        <v>0.03</v>
      </c>
      <c r="AO13" s="100">
        <v>0.03</v>
      </c>
      <c r="AP13" s="100">
        <v>0.03</v>
      </c>
      <c r="AQ13" s="98"/>
    </row>
    <row r="14" spans="1:43" x14ac:dyDescent="0.15">
      <c r="A14" s="54" t="s">
        <v>113</v>
      </c>
      <c r="C14" s="55">
        <f>+'IS Actual &amp; Forecast'!C10</f>
        <v>129550.39999999999</v>
      </c>
      <c r="D14" s="55">
        <f>+'IS Actual &amp; Forecast'!D10</f>
        <v>133598.85</v>
      </c>
      <c r="E14" s="55">
        <f>+'IS Actual &amp; Forecast'!E10</f>
        <v>155738.08800000002</v>
      </c>
      <c r="F14" s="55">
        <f>+'IS Actual &amp; Forecast'!F10</f>
        <v>115180.660384</v>
      </c>
      <c r="G14" s="55">
        <f>+'IS Actual &amp; Forecast'!G10</f>
        <v>132477.04717632002</v>
      </c>
      <c r="H14" s="55">
        <f>+'IS Actual &amp; Forecast'!H10</f>
        <v>128580.66343584005</v>
      </c>
      <c r="I14" s="55">
        <f>+'IS Actual &amp; Forecast'!I10</f>
        <v>109293.56392046403</v>
      </c>
      <c r="J14" s="55">
        <f>+'IS Actual &amp; Forecast'!J10</f>
        <v>130550.89473684211</v>
      </c>
      <c r="K14" s="55">
        <f>+'IS Actual &amp; Forecast'!K10</f>
        <v>143283.86229972832</v>
      </c>
      <c r="L14" s="55">
        <f>+'IS Actual &amp; Forecast'!L10</f>
        <v>135096.21302545813</v>
      </c>
      <c r="M14" s="55">
        <f>+'IS Actual &amp; Forecast'!M10</f>
        <v>119785.30888257288</v>
      </c>
      <c r="N14" s="55">
        <f>+'IS Actual &amp; Forecast'!N10</f>
        <v>99107.907660034674</v>
      </c>
      <c r="P14" s="41"/>
      <c r="Q14" s="56">
        <f>+'IS Actual &amp; Forecast'!Q10</f>
        <v>142591.66972823208</v>
      </c>
      <c r="R14" s="56">
        <f>+'IS Actual &amp; Forecast'!R10</f>
        <v>196529.30846153849</v>
      </c>
      <c r="S14" s="56">
        <f>+'IS Actual &amp; Forecast'!S10</f>
        <v>138358.47953317518</v>
      </c>
      <c r="T14" s="56">
        <f>+'IS Actual &amp; Forecast'!T10</f>
        <v>108227.07732372814</v>
      </c>
      <c r="U14" s="56">
        <f>+'IS Actual &amp; Forecast'!U10</f>
        <v>108863.70719033829</v>
      </c>
      <c r="V14" s="56">
        <f>+'IS Actual &amp; Forecast'!V10</f>
        <v>102081.14488983572</v>
      </c>
      <c r="W14" s="51">
        <f>+I14*(1+W13)</f>
        <v>112572.37083807796</v>
      </c>
      <c r="X14" s="51">
        <f t="shared" ref="X14:AB14" si="5">+J14*(1+X13)</f>
        <v>134467.42157894737</v>
      </c>
      <c r="Y14" s="51">
        <f t="shared" si="5"/>
        <v>147582.37816872017</v>
      </c>
      <c r="Z14" s="51">
        <f t="shared" si="5"/>
        <v>139149.09941622187</v>
      </c>
      <c r="AA14" s="51">
        <f t="shared" si="5"/>
        <v>123378.86814905006</v>
      </c>
      <c r="AB14" s="51">
        <f t="shared" si="5"/>
        <v>102081.14488983572</v>
      </c>
      <c r="AE14" s="51">
        <f t="shared" ref="AE14:AP14" si="6">+Q14*(1+AE13)</f>
        <v>146869.41982007906</v>
      </c>
      <c r="AF14" s="51">
        <f t="shared" si="6"/>
        <v>202425.18771538464</v>
      </c>
      <c r="AG14" s="51">
        <f t="shared" si="6"/>
        <v>142509.23391917045</v>
      </c>
      <c r="AH14" s="51">
        <f t="shared" si="6"/>
        <v>111473.88964343998</v>
      </c>
      <c r="AI14" s="51">
        <f t="shared" si="6"/>
        <v>112129.61840604844</v>
      </c>
      <c r="AJ14" s="51">
        <f t="shared" si="6"/>
        <v>105143.5792365308</v>
      </c>
      <c r="AK14" s="51">
        <f t="shared" si="6"/>
        <v>115949.5419632203</v>
      </c>
      <c r="AL14" s="51">
        <f t="shared" si="6"/>
        <v>138501.4442263158</v>
      </c>
      <c r="AM14" s="51">
        <f t="shared" si="6"/>
        <v>152009.84951378178</v>
      </c>
      <c r="AN14" s="51">
        <f t="shared" si="6"/>
        <v>143323.57239870852</v>
      </c>
      <c r="AO14" s="51">
        <f t="shared" si="6"/>
        <v>127080.23419352157</v>
      </c>
      <c r="AP14" s="51">
        <f t="shared" si="6"/>
        <v>105143.5792365308</v>
      </c>
    </row>
    <row r="15" spans="1:43" x14ac:dyDescent="0.15">
      <c r="A15" s="29" t="s">
        <v>16</v>
      </c>
      <c r="C15" s="48">
        <f>+'IS Actual &amp; Forecast'!C16</f>
        <v>1943256</v>
      </c>
      <c r="D15" s="48">
        <f>+'IS Actual &amp; Forecast'!D16</f>
        <v>2137581.6</v>
      </c>
      <c r="E15" s="48">
        <f>+'IS Actual &amp; Forecast'!E16</f>
        <v>2180333.2320000003</v>
      </c>
      <c r="F15" s="48">
        <f>+'IS Actual &amp; Forecast'!F16</f>
        <v>1727709.90576</v>
      </c>
      <c r="G15" s="48">
        <f>+'IS Actual &amp; Forecast'!G16</f>
        <v>1987155.7076448004</v>
      </c>
      <c r="H15" s="48">
        <f>+'IS Actual &amp; Forecast'!H16</f>
        <v>2185871.2784092808</v>
      </c>
      <c r="I15" s="48">
        <f>+'IS Actual &amp; Forecast'!I16</f>
        <v>2076577.7144888167</v>
      </c>
      <c r="J15" s="48">
        <f>+'IS Actual &amp; Forecast'!J16</f>
        <v>2480467</v>
      </c>
      <c r="K15" s="48">
        <f>+'IS Actual &amp; Forecast'!K16</f>
        <v>2149257.934495925</v>
      </c>
      <c r="L15" s="48">
        <f>+'IS Actual &amp; Forecast'!L16</f>
        <v>1891346.982356414</v>
      </c>
      <c r="M15" s="48">
        <f>+'IS Actual &amp; Forecast'!M16</f>
        <v>1796779.6332385931</v>
      </c>
      <c r="N15" s="48">
        <f>+'IS Actual &amp; Forecast'!N16</f>
        <v>1486618.6149005201</v>
      </c>
      <c r="O15" s="56">
        <f>SUM(C15:N15)</f>
        <v>24042955.60329435</v>
      </c>
      <c r="P15" s="41"/>
      <c r="Q15" s="48">
        <f>+'IS Actual &amp; Forecast'!Q13</f>
        <v>2138875.0459234812</v>
      </c>
      <c r="R15" s="48">
        <f>+'IS Actual &amp; Forecast'!R13</f>
        <v>2554881.0100000002</v>
      </c>
      <c r="S15" s="48">
        <f>+'IS Actual &amp; Forecast'!S13</f>
        <v>2213735.6725308029</v>
      </c>
      <c r="T15" s="48">
        <f>+'IS Actual &amp; Forecast'!T13</f>
        <v>1948087.3918271065</v>
      </c>
      <c r="U15" s="48">
        <f>+'IS Actual &amp; Forecast'!U13</f>
        <v>1850683.0222357509</v>
      </c>
      <c r="V15" s="48">
        <f>+'IS Actual &amp; Forecast'!V13</f>
        <v>1531217.1733475358</v>
      </c>
      <c r="W15" s="48">
        <f>+W11*W14</f>
        <v>1913730.3042473253</v>
      </c>
      <c r="X15" s="48">
        <f t="shared" ref="X15:AB15" si="7">+X11*X14</f>
        <v>2420413.5884210528</v>
      </c>
      <c r="Y15" s="48">
        <f t="shared" si="7"/>
        <v>2804065.1852056831</v>
      </c>
      <c r="Z15" s="48">
        <f t="shared" si="7"/>
        <v>2782981.9883244373</v>
      </c>
      <c r="AA15" s="48">
        <f t="shared" si="7"/>
        <v>2590956.2311300514</v>
      </c>
      <c r="AB15" s="48">
        <f t="shared" si="7"/>
        <v>2245785.1875763857</v>
      </c>
      <c r="AC15" s="56">
        <f>SUM(Q15:AB15)</f>
        <v>26995411.800769616</v>
      </c>
      <c r="AE15" s="48">
        <f t="shared" ref="AE15:AP15" si="8">+AE11*AE14</f>
        <v>3231127.2360417391</v>
      </c>
      <c r="AF15" s="48">
        <f t="shared" si="8"/>
        <v>4048503.7543076929</v>
      </c>
      <c r="AG15" s="48">
        <f t="shared" si="8"/>
        <v>2565166.2105450681</v>
      </c>
      <c r="AH15" s="48">
        <f t="shared" si="8"/>
        <v>2006530.0135819197</v>
      </c>
      <c r="AI15" s="48">
        <f t="shared" si="8"/>
        <v>2130462.7497149203</v>
      </c>
      <c r="AJ15" s="48">
        <f t="shared" si="8"/>
        <v>2208015.163967147</v>
      </c>
      <c r="AK15" s="48">
        <f t="shared" si="8"/>
        <v>2550889.9231908466</v>
      </c>
      <c r="AL15" s="48">
        <f t="shared" si="8"/>
        <v>3185533.2172052632</v>
      </c>
      <c r="AM15" s="48">
        <f t="shared" si="8"/>
        <v>3192206.8397894176</v>
      </c>
      <c r="AN15" s="48">
        <f t="shared" si="8"/>
        <v>2866471.4479741706</v>
      </c>
      <c r="AO15" s="48">
        <f t="shared" si="8"/>
        <v>2541604.6838704315</v>
      </c>
      <c r="AP15" s="48">
        <f t="shared" si="8"/>
        <v>1997728.0054940851</v>
      </c>
      <c r="AQ15" s="56">
        <f>SUM(AE15:AP15)</f>
        <v>32524239.245682701</v>
      </c>
    </row>
    <row r="16" spans="1:43" x14ac:dyDescent="0.15">
      <c r="A16" s="29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P16" s="41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</row>
    <row r="17" spans="1:43" x14ac:dyDescent="0.15">
      <c r="A17" s="96" t="s">
        <v>122</v>
      </c>
      <c r="B17" s="90"/>
      <c r="C17" s="101">
        <f>+'IS Actual &amp; Forecast'!C21</f>
        <v>0.14400000000000002</v>
      </c>
      <c r="D17" s="101">
        <f>+'IS Actual &amp; Forecast'!D21</f>
        <v>0.16200000000000006</v>
      </c>
      <c r="E17" s="101">
        <f>+'IS Actual &amp; Forecast'!E21</f>
        <v>0.14900000000000008</v>
      </c>
      <c r="F17" s="101">
        <f>+'IS Actual &amp; Forecast'!F21</f>
        <v>0.13800000000000001</v>
      </c>
      <c r="G17" s="101">
        <f>+'IS Actual &amp; Forecast'!G21</f>
        <v>0.15300000000000002</v>
      </c>
      <c r="H17" s="101">
        <f>+'IS Actual &amp; Forecast'!H21</f>
        <v>0.15800000000000006</v>
      </c>
      <c r="I17" s="101">
        <f>+'IS Actual &amp; Forecast'!I21</f>
        <v>0.16600000000000009</v>
      </c>
      <c r="J17" s="101">
        <f>+'IS Actual &amp; Forecast'!J21</f>
        <v>0.14499999999999993</v>
      </c>
      <c r="K17" s="101">
        <f>+'IS Actual &amp; Forecast'!K21</f>
        <v>0.15399999999999997</v>
      </c>
      <c r="L17" s="101">
        <f>+'IS Actual &amp; Forecast'!L21</f>
        <v>0.12899999999999998</v>
      </c>
      <c r="M17" s="101">
        <f>+'IS Actual &amp; Forecast'!M21</f>
        <v>0.15400000000000008</v>
      </c>
      <c r="N17" s="101">
        <f>+'IS Actual &amp; Forecast'!N21</f>
        <v>0.15900000000000003</v>
      </c>
      <c r="O17" s="90"/>
      <c r="P17" s="41"/>
      <c r="Q17" s="101">
        <f>+'IS Actual &amp; Forecast'!Q21</f>
        <v>0.14100000000000001</v>
      </c>
      <c r="R17" s="101">
        <f>+'IS Actual &amp; Forecast'!R21</f>
        <v>0.16100000000000006</v>
      </c>
      <c r="S17" s="101">
        <f>+'IS Actual &amp; Forecast'!S21</f>
        <v>0.159</v>
      </c>
      <c r="T17" s="101">
        <f>+'IS Actual &amp; Forecast'!T21</f>
        <v>0.128</v>
      </c>
      <c r="U17" s="101">
        <f>+'IS Actual &amp; Forecast'!U21</f>
        <v>0.15300000000000005</v>
      </c>
      <c r="V17" s="101">
        <f>+'IS Actual &amp; Forecast'!V21</f>
        <v>0.14899999999999999</v>
      </c>
      <c r="W17" s="101">
        <v>0.15</v>
      </c>
      <c r="X17" s="101">
        <v>0.15</v>
      </c>
      <c r="Y17" s="101">
        <v>0.15</v>
      </c>
      <c r="Z17" s="101">
        <v>0.14000000000000001</v>
      </c>
      <c r="AA17" s="101">
        <v>0.14000000000000001</v>
      </c>
      <c r="AB17" s="101">
        <v>0.14000000000000001</v>
      </c>
      <c r="AC17" s="90"/>
      <c r="AE17" s="101">
        <v>0.14000000000000001</v>
      </c>
      <c r="AF17" s="101">
        <v>0.14000000000000001</v>
      </c>
      <c r="AG17" s="101">
        <v>0.15</v>
      </c>
      <c r="AH17" s="101">
        <v>0.15</v>
      </c>
      <c r="AI17" s="101">
        <v>0.15</v>
      </c>
      <c r="AJ17" s="101">
        <v>0.15</v>
      </c>
      <c r="AK17" s="101">
        <v>0.15</v>
      </c>
      <c r="AL17" s="101">
        <v>0.15</v>
      </c>
      <c r="AM17" s="101">
        <v>0.15</v>
      </c>
      <c r="AN17" s="101">
        <v>0.15</v>
      </c>
      <c r="AO17" s="101">
        <v>0.15</v>
      </c>
      <c r="AP17" s="101">
        <v>0.15</v>
      </c>
      <c r="AQ17" s="90"/>
    </row>
    <row r="18" spans="1:43" x14ac:dyDescent="0.15">
      <c r="A18" s="29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P18" s="41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</row>
    <row r="19" spans="1:43" x14ac:dyDescent="0.15">
      <c r="P19" s="41"/>
    </row>
    <row r="20" spans="1:43" x14ac:dyDescent="0.15">
      <c r="A20" s="121" t="s">
        <v>215</v>
      </c>
      <c r="B20" s="90"/>
      <c r="C20" s="98" t="s">
        <v>106</v>
      </c>
      <c r="D20" s="98" t="s">
        <v>106</v>
      </c>
      <c r="E20" s="102">
        <f>+E22/E21</f>
        <v>43.644890675972988</v>
      </c>
      <c r="F20" s="102">
        <f t="shared" ref="F20:N20" si="9">+F22/F21</f>
        <v>40.528319778594458</v>
      </c>
      <c r="G20" s="102">
        <f t="shared" si="9"/>
        <v>44.168715685619617</v>
      </c>
      <c r="H20" s="102">
        <f t="shared" si="9"/>
        <v>47.171636879843781</v>
      </c>
      <c r="I20" s="102">
        <f t="shared" si="9"/>
        <v>41.096895002117996</v>
      </c>
      <c r="J20" s="102">
        <f t="shared" si="9"/>
        <v>41.282204849853152</v>
      </c>
      <c r="K20" s="102">
        <f t="shared" si="9"/>
        <v>39.17942728115024</v>
      </c>
      <c r="L20" s="102">
        <f t="shared" si="9"/>
        <v>39.054591999595495</v>
      </c>
      <c r="M20" s="102">
        <f t="shared" si="9"/>
        <v>43.948324248834822</v>
      </c>
      <c r="N20" s="102">
        <f t="shared" si="9"/>
        <v>47.422965578481076</v>
      </c>
      <c r="O20" s="90"/>
      <c r="P20" s="41"/>
      <c r="Q20" s="102">
        <f t="shared" ref="Q20:V20" si="10">+Q22/Q21</f>
        <v>52.096003448477333</v>
      </c>
      <c r="R20" s="102">
        <f t="shared" si="10"/>
        <v>37.422207328842731</v>
      </c>
      <c r="S20" s="102">
        <f t="shared" si="10"/>
        <v>37.391807090727475</v>
      </c>
      <c r="T20" s="102">
        <f t="shared" si="10"/>
        <v>43.405233033586278</v>
      </c>
      <c r="U20" s="102">
        <f t="shared" si="10"/>
        <v>46.676595631201749</v>
      </c>
      <c r="V20" s="102">
        <f t="shared" si="10"/>
        <v>48.066900710474755</v>
      </c>
      <c r="W20" s="102">
        <v>43</v>
      </c>
      <c r="X20" s="102">
        <v>43</v>
      </c>
      <c r="Y20" s="102">
        <v>43</v>
      </c>
      <c r="Z20" s="102">
        <v>50</v>
      </c>
      <c r="AA20" s="102">
        <v>50</v>
      </c>
      <c r="AB20" s="102">
        <v>55</v>
      </c>
      <c r="AC20" s="90"/>
      <c r="AE20" s="102">
        <v>50</v>
      </c>
      <c r="AF20" s="102">
        <v>50</v>
      </c>
      <c r="AG20" s="102">
        <v>45</v>
      </c>
      <c r="AH20" s="102">
        <v>44</v>
      </c>
      <c r="AI20" s="102">
        <v>43</v>
      </c>
      <c r="AJ20" s="102">
        <v>43</v>
      </c>
      <c r="AK20" s="102">
        <v>43</v>
      </c>
      <c r="AL20" s="102">
        <v>43</v>
      </c>
      <c r="AM20" s="102">
        <v>43</v>
      </c>
      <c r="AN20" s="102">
        <v>43</v>
      </c>
      <c r="AO20" s="102">
        <v>43</v>
      </c>
      <c r="AP20" s="102">
        <v>43</v>
      </c>
      <c r="AQ20" s="90"/>
    </row>
    <row r="21" spans="1:43" x14ac:dyDescent="0.15">
      <c r="A21" t="s">
        <v>108</v>
      </c>
      <c r="C21" s="41" t="s">
        <v>106</v>
      </c>
      <c r="D21" s="41" t="s">
        <v>106</v>
      </c>
      <c r="E21" s="49">
        <f>SUM('IS for importing to SW'!C13:D13)/60</f>
        <v>68013.960000000006</v>
      </c>
      <c r="F21" s="49">
        <f>SUM('IS for importing to SW'!D13:E13)/60</f>
        <v>71965.247200000013</v>
      </c>
      <c r="G21" s="49">
        <f>SUM('IS for importing to SW'!E13:F13)/60</f>
        <v>65134.052296000002</v>
      </c>
      <c r="H21" s="49">
        <f>SUM('IS for importing to SW'!F13:G13)/60</f>
        <v>61914.426890080002</v>
      </c>
      <c r="I21" s="49">
        <f>SUM('IS for importing to SW'!G13:H13)/60</f>
        <v>69550.449767568018</v>
      </c>
      <c r="J21" s="49">
        <f>SUM('IS for importing to SW'!H13:I13)/60</f>
        <v>71040.81654830162</v>
      </c>
      <c r="K21" s="49">
        <f>SUM('IS for importing to SW'!I13:J13)/60</f>
        <v>75950.745241480268</v>
      </c>
      <c r="L21" s="49">
        <f>SUM('IS for importing to SW'!J13:K13)/60</f>
        <v>77162.08224159875</v>
      </c>
      <c r="M21" s="49">
        <f>SUM('IS for importing to SW'!K13:L13)/60</f>
        <v>67343.415280872316</v>
      </c>
      <c r="N21" s="49">
        <f>SUM('IS for importing to SW'!L13:M13)/60</f>
        <v>61468.776926583458</v>
      </c>
      <c r="P21" s="41"/>
      <c r="Q21" s="49">
        <f>SUM('IS Actual &amp; Forecast'!M13:N13)/60</f>
        <v>54723.304135651888</v>
      </c>
      <c r="R21" s="49">
        <f>SUM('IS Actual &amp; Forecast'!Q13:R13)/60</f>
        <v>78229.267598724691</v>
      </c>
      <c r="S21" s="49">
        <f>SUM('IS Actual &amp; Forecast'!R13:S13)/60</f>
        <v>79476.944708846728</v>
      </c>
      <c r="T21" s="49">
        <f>SUM('IS Actual &amp; Forecast'!S13:T13)/60</f>
        <v>69363.717739298489</v>
      </c>
      <c r="U21" s="49">
        <f>SUM('IS Actual &amp; Forecast'!T13:U13)/60</f>
        <v>63312.840234380958</v>
      </c>
      <c r="V21" s="49">
        <f>SUM('IS Actual &amp; Forecast'!U13:V13)/60</f>
        <v>56365.003259721445</v>
      </c>
      <c r="W21" s="49">
        <f>SUM('IS Actual &amp; Forecast'!V13:W13)/60</f>
        <v>57415.791293247683</v>
      </c>
      <c r="X21" s="49">
        <f>SUM('IS Actual &amp; Forecast'!W13:X13)/60</f>
        <v>72235.731544472961</v>
      </c>
      <c r="Y21" s="49">
        <f>SUM('IS Actual &amp; Forecast'!X13:Y13)/60</f>
        <v>87074.646227112258</v>
      </c>
      <c r="Z21" s="49">
        <f>SUM('IS Actual &amp; Forecast'!Y13:Z13)/60</f>
        <v>93117.452892168672</v>
      </c>
      <c r="AA21" s="49">
        <f>SUM('IS Actual &amp; Forecast'!Z13:AA13)/60</f>
        <v>89565.63699090814</v>
      </c>
      <c r="AB21" s="49">
        <f>SUM('IS Actual &amp; Forecast'!AA13:AB13)/60</f>
        <v>80612.356978440628</v>
      </c>
      <c r="AE21" s="49">
        <f>('IS Actual &amp; Forecast'!AB13+'IS Actual &amp; Forecast'!AE13)/60</f>
        <v>91281.873726968741</v>
      </c>
      <c r="AF21" s="49">
        <f>SUM('IS Actual &amp; Forecast'!AE13:AF13)/60</f>
        <v>121327.18317249054</v>
      </c>
      <c r="AG21" s="49">
        <f>SUM('IS Actual &amp; Forecast'!AF13:AG13)/60</f>
        <v>110227.83274754602</v>
      </c>
      <c r="AH21" s="49">
        <f>SUM('IS Actual &amp; Forecast'!AG13:AH13)/60</f>
        <v>76194.93706878314</v>
      </c>
      <c r="AI21" s="49">
        <f>SUM('IS Actual &amp; Forecast'!AH13:AI13)/60</f>
        <v>68949.879388280664</v>
      </c>
      <c r="AJ21" s="49">
        <f>SUM('IS Actual &amp; Forecast'!AI13:AJ13)/60</f>
        <v>72307.96522803446</v>
      </c>
      <c r="AK21" s="49">
        <f>SUM('IS Actual &amp; Forecast'!AJ13:AK13)/60</f>
        <v>79315.084785966566</v>
      </c>
      <c r="AL21" s="49">
        <f>SUM('IS Actual &amp; Forecast'!AK13:AL13)/60</f>
        <v>95607.052339935166</v>
      </c>
      <c r="AM21" s="49">
        <f>SUM('IS Actual &amp; Forecast'!AL13:AM13)/60</f>
        <v>106295.66761657801</v>
      </c>
      <c r="AN21" s="49">
        <f>SUM('IS Actual &amp; Forecast'!AM13:AN13)/60</f>
        <v>100977.97146272646</v>
      </c>
      <c r="AO21" s="49">
        <f>SUM('IS Actual &amp; Forecast'!AN13:AO13)/60</f>
        <v>90134.602197410044</v>
      </c>
      <c r="AP21" s="49">
        <f>SUM('IS Actual &amp; Forecast'!AO13:AP13)/60</f>
        <v>75655.544822741955</v>
      </c>
    </row>
    <row r="22" spans="1:43" x14ac:dyDescent="0.15">
      <c r="A22" s="29" t="s">
        <v>59</v>
      </c>
      <c r="C22" s="48">
        <f>+'BS Actual &amp; Forecast'!C11</f>
        <v>2946231</v>
      </c>
      <c r="D22" s="48">
        <f>+'BS Actual &amp; Forecast'!D11</f>
        <v>2924855.1839999999</v>
      </c>
      <c r="E22" s="48">
        <f>+'BS Actual &amp; Forecast'!E11</f>
        <v>2968461.84864</v>
      </c>
      <c r="F22" s="48">
        <f>+'BS Actual &amp; Forecast'!F11</f>
        <v>2916630.5514671998</v>
      </c>
      <c r="G22" s="48">
        <f>+'BS Actual &amp; Forecast'!G11</f>
        <v>2876887.4373143036</v>
      </c>
      <c r="H22" s="48">
        <f>+'BS Actual &amp; Forecast'!H11</f>
        <v>2920604.8628824893</v>
      </c>
      <c r="I22" s="48">
        <f>+'BS Actual &amp; Forecast'!I11</f>
        <v>2858307.531447825</v>
      </c>
      <c r="J22" s="48">
        <f>+'BS Actual &amp; Forecast'!J11</f>
        <v>2932721.5414478253</v>
      </c>
      <c r="K22" s="48">
        <f>+'BS Actual &amp; Forecast'!K11</f>
        <v>2975706.7001377437</v>
      </c>
      <c r="L22" s="48">
        <f>+'BS Actual &amp; Forecast'!L11</f>
        <v>3013533.6397848721</v>
      </c>
      <c r="M22" s="48">
        <f>+'BS Actual &amp; Forecast'!M11</f>
        <v>2959630.2507877145</v>
      </c>
      <c r="N22" s="48">
        <f>+'BS Actual &amp; Forecast'!N11</f>
        <v>2915031.692340699</v>
      </c>
      <c r="P22" s="41"/>
      <c r="Q22" s="48">
        <f>+'BS Actual &amp; Forecast'!Q11</f>
        <v>2850865.4409629945</v>
      </c>
      <c r="R22" s="48">
        <f>+'BS Actual &amp; Forecast'!R11</f>
        <v>2927511.8712629946</v>
      </c>
      <c r="S22" s="48">
        <f>+'BS Actual &amp; Forecast'!S11</f>
        <v>2971786.5847136108</v>
      </c>
      <c r="T22" s="48">
        <f>+'BS Actual &amp; Forecast'!T11</f>
        <v>3010748.3325501531</v>
      </c>
      <c r="U22" s="48">
        <f>+'BS Actual &amp; Forecast'!U11</f>
        <v>2955227.8418830805</v>
      </c>
      <c r="V22" s="48">
        <f>+'BS Actual &amp; Forecast'!V11</f>
        <v>2709291.0152306166</v>
      </c>
      <c r="W22" s="48">
        <f>+W20*W21</f>
        <v>2468879.0256096502</v>
      </c>
      <c r="X22" s="48">
        <f t="shared" ref="X22:AB22" si="11">+X20*X21</f>
        <v>3106136.4564123373</v>
      </c>
      <c r="Y22" s="48">
        <f t="shared" si="11"/>
        <v>3744209.787765827</v>
      </c>
      <c r="Z22" s="48">
        <f t="shared" si="11"/>
        <v>4655872.6446084334</v>
      </c>
      <c r="AA22" s="48">
        <f t="shared" si="11"/>
        <v>4478281.8495454071</v>
      </c>
      <c r="AB22" s="48">
        <f t="shared" si="11"/>
        <v>4433679.6338142343</v>
      </c>
      <c r="AE22" s="48">
        <f t="shared" ref="AE22:AP22" si="12">+AE20*AE21</f>
        <v>4564093.6863484373</v>
      </c>
      <c r="AF22" s="48">
        <f t="shared" si="12"/>
        <v>6066359.158624527</v>
      </c>
      <c r="AG22" s="48">
        <f t="shared" si="12"/>
        <v>4960252.4736395711</v>
      </c>
      <c r="AH22" s="48">
        <f t="shared" si="12"/>
        <v>3352577.2310264581</v>
      </c>
      <c r="AI22" s="48">
        <f t="shared" si="12"/>
        <v>2964844.8136960687</v>
      </c>
      <c r="AJ22" s="48">
        <f t="shared" si="12"/>
        <v>3109242.504805482</v>
      </c>
      <c r="AK22" s="48">
        <f t="shared" si="12"/>
        <v>3410548.6457965625</v>
      </c>
      <c r="AL22" s="48">
        <f t="shared" si="12"/>
        <v>4111103.2506172122</v>
      </c>
      <c r="AM22" s="48">
        <f t="shared" si="12"/>
        <v>4570713.7075128546</v>
      </c>
      <c r="AN22" s="48">
        <f t="shared" si="12"/>
        <v>4342052.7728972379</v>
      </c>
      <c r="AO22" s="48">
        <f t="shared" si="12"/>
        <v>3875787.8944886317</v>
      </c>
      <c r="AP22" s="48">
        <f t="shared" si="12"/>
        <v>3253188.4273779038</v>
      </c>
    </row>
    <row r="23" spans="1:43" x14ac:dyDescent="0.15">
      <c r="P23" s="41"/>
    </row>
    <row r="24" spans="1:43" x14ac:dyDescent="0.15">
      <c r="A24" s="121" t="s">
        <v>216</v>
      </c>
      <c r="B24" s="90"/>
      <c r="C24" s="98" t="s">
        <v>106</v>
      </c>
      <c r="D24" s="98" t="s">
        <v>106</v>
      </c>
      <c r="E24" s="102">
        <f>+E26/E25</f>
        <v>2.5076065313630482</v>
      </c>
      <c r="F24" s="102">
        <f t="shared" ref="F24:N24" si="13">+F26/F25</f>
        <v>3.110652709333968</v>
      </c>
      <c r="G24" s="102">
        <f t="shared" si="13"/>
        <v>3.995378250684916</v>
      </c>
      <c r="H24" s="102">
        <f t="shared" si="13"/>
        <v>3.5162372813970784</v>
      </c>
      <c r="I24" s="102">
        <f t="shared" si="13"/>
        <v>4.0504581589359736</v>
      </c>
      <c r="J24" s="102">
        <f t="shared" si="13"/>
        <v>2.9265883888118349</v>
      </c>
      <c r="K24" s="102">
        <f t="shared" si="13"/>
        <v>2.1473260789191713</v>
      </c>
      <c r="L24" s="102">
        <f t="shared" si="13"/>
        <v>1.5983696609919555</v>
      </c>
      <c r="M24" s="102">
        <f t="shared" si="13"/>
        <v>2.6062257762420251</v>
      </c>
      <c r="N24" s="102">
        <f t="shared" si="13"/>
        <v>3.5620804069684606</v>
      </c>
      <c r="O24" s="90"/>
      <c r="P24" s="41"/>
      <c r="Q24" s="102">
        <f t="shared" ref="Q24:V24" si="14">+Q26/Q25</f>
        <v>5.2664640346391716</v>
      </c>
      <c r="R24" s="102">
        <f t="shared" si="14"/>
        <v>2.6957682556309819</v>
      </c>
      <c r="S24" s="102">
        <f t="shared" si="14"/>
        <v>2.1215198755547622</v>
      </c>
      <c r="T24" s="102">
        <f t="shared" si="14"/>
        <v>1.814033832521974</v>
      </c>
      <c r="U24" s="102">
        <f t="shared" si="14"/>
        <v>2.8412886728101263</v>
      </c>
      <c r="V24" s="102">
        <f t="shared" si="14"/>
        <v>4.0500003531790565</v>
      </c>
      <c r="W24" s="102">
        <v>3</v>
      </c>
      <c r="X24" s="102">
        <v>3</v>
      </c>
      <c r="Y24" s="102">
        <v>3</v>
      </c>
      <c r="Z24" s="102">
        <v>3</v>
      </c>
      <c r="AA24" s="102">
        <v>3</v>
      </c>
      <c r="AB24" s="102">
        <v>3</v>
      </c>
      <c r="AC24" s="90"/>
      <c r="AE24" s="102">
        <v>3</v>
      </c>
      <c r="AF24" s="102">
        <v>3</v>
      </c>
      <c r="AG24" s="102">
        <v>3</v>
      </c>
      <c r="AH24" s="102">
        <v>3</v>
      </c>
      <c r="AI24" s="102">
        <v>3</v>
      </c>
      <c r="AJ24" s="102">
        <v>3</v>
      </c>
      <c r="AK24" s="102">
        <v>3</v>
      </c>
      <c r="AL24" s="102">
        <v>3</v>
      </c>
      <c r="AM24" s="102">
        <v>3</v>
      </c>
      <c r="AN24" s="102">
        <v>3</v>
      </c>
      <c r="AO24" s="102">
        <v>3</v>
      </c>
      <c r="AP24" s="102">
        <v>3</v>
      </c>
      <c r="AQ24" s="90"/>
    </row>
    <row r="25" spans="1:43" x14ac:dyDescent="0.15">
      <c r="A25" s="29" t="s">
        <v>107</v>
      </c>
      <c r="C25" s="41" t="s">
        <v>106</v>
      </c>
      <c r="D25" s="41" t="s">
        <v>106</v>
      </c>
      <c r="E25" s="49">
        <f>SUM('IS for importing to SW'!C18:D18)/60</f>
        <v>57578.675279999996</v>
      </c>
      <c r="F25" s="49">
        <f>SUM('IS for importing to SW'!D18:E18)/60</f>
        <v>60779.282687200001</v>
      </c>
      <c r="G25" s="49">
        <f>SUM('IS for importing to SW'!E18:F18)/60</f>
        <v>55745.825319952004</v>
      </c>
      <c r="H25" s="49">
        <f>SUM('IS for importing to SW'!F18:G18)/60</f>
        <v>52873.447052337768</v>
      </c>
      <c r="I25" s="49">
        <f>SUM('IS for importing to SW'!G18:H18)/60</f>
        <v>58727.075013262671</v>
      </c>
      <c r="J25" s="49">
        <f>SUM('IS for importing to SW'!H18:I18)/60</f>
        <v>59539.490505071451</v>
      </c>
      <c r="K25" s="49">
        <f>SUM('IS for importing to SW'!I18:J18)/60</f>
        <v>64211.084981394553</v>
      </c>
      <c r="L25" s="49">
        <f>SUM('IS for importing to SW'!J18:K18)/60</f>
        <v>65651.191626392552</v>
      </c>
      <c r="M25" s="49">
        <f>SUM('IS for importing to SW'!K18:L18)/60</f>
        <v>57760.590570266482</v>
      </c>
      <c r="N25" s="49">
        <f>SUM('IS for importing to SW'!L18:M18)/60</f>
        <v>52790.646522538103</v>
      </c>
      <c r="P25" s="41"/>
      <c r="Q25" s="49">
        <f>SUM('IS for importing to SW'!M18:N18)/60</f>
        <v>46172.030414186447</v>
      </c>
      <c r="R25" s="49">
        <f>SUM('IS for importing to SW'!Q18:R18)/60</f>
        <v>66347.313863971183</v>
      </c>
      <c r="S25" s="49">
        <f>SUM('IS for importing to SW'!R18:S18)/60</f>
        <v>66754.94779980676</v>
      </c>
      <c r="T25" s="49">
        <f>SUM('IS for importing to SW'!S18:T18)/60</f>
        <v>59341.398437860698</v>
      </c>
      <c r="U25" s="49">
        <f>SUM('IS for importing to SW'!T18:U18)/60</f>
        <v>54437.678758448623</v>
      </c>
      <c r="V25" s="49">
        <f>SUM('IS for importing to SW'!U18:V18)/60</f>
        <v>47843.238905873892</v>
      </c>
      <c r="W25" s="49">
        <f>SUM('IS Actual &amp; Forecast'!V18:W18)/60</f>
        <v>48828.942885482997</v>
      </c>
      <c r="X25" s="49">
        <f>SUM('IS Actual &amp; Forecast'!W18:X18)/60</f>
        <v>61400.371812802026</v>
      </c>
      <c r="Y25" s="49">
        <f>SUM('IS Actual &amp; Forecast'!X18:Y18)/60</f>
        <v>74013.449293045414</v>
      </c>
      <c r="Z25" s="49">
        <f>SUM('IS Actual &amp; Forecast'!Y18:Z18)/60</f>
        <v>79613.665289730779</v>
      </c>
      <c r="AA25" s="49">
        <f>SUM('IS Actual &amp; Forecast'!Z18:AA18)/60</f>
        <v>77026.447812180995</v>
      </c>
      <c r="AB25" s="49">
        <f>SUM('IS Actual &amp; Forecast'!AA18:AB18)/60</f>
        <v>69326.627001458939</v>
      </c>
      <c r="AE25" s="49">
        <f>SUM('IS Actual &amp; Forecast'!AD18:AE18)/60</f>
        <v>46312.823716598257</v>
      </c>
      <c r="AF25" s="49">
        <f>SUM('IS Actual &amp; Forecast'!AE18:AF18)/60</f>
        <v>104341.37752834187</v>
      </c>
      <c r="AG25" s="49">
        <f>SUM('IS Actual &amp; Forecast'!AF18:AG18)/60</f>
        <v>94368.408461132058</v>
      </c>
      <c r="AH25" s="49">
        <f>SUM('IS Actual &amp; Forecast'!AG18:AH18)/60</f>
        <v>64765.696508465662</v>
      </c>
      <c r="AI25" s="49">
        <f>SUM('IS Actual &amp; Forecast'!AH18:AI18)/60</f>
        <v>58607.397480038569</v>
      </c>
      <c r="AJ25" s="49">
        <f>SUM('IS Actual &amp; Forecast'!AI18:AJ18)/60</f>
        <v>61461.770443829286</v>
      </c>
      <c r="AK25" s="49">
        <f>SUM('IS Actual &amp; Forecast'!AJ18:AK18)/60</f>
        <v>67417.822068071575</v>
      </c>
      <c r="AL25" s="49">
        <f>SUM('IS Actual &amp; Forecast'!AK18:AL18)/60</f>
        <v>81265.994488944896</v>
      </c>
      <c r="AM25" s="49">
        <f>SUM('IS Actual &amp; Forecast'!AL18:AM18)/60</f>
        <v>90351.317474091295</v>
      </c>
      <c r="AN25" s="49">
        <f>SUM('IS Actual &amp; Forecast'!AM18:AN18)/60</f>
        <v>85831.275743317499</v>
      </c>
      <c r="AO25" s="49">
        <f>SUM('IS Actual &amp; Forecast'!AN18:AO18)/60</f>
        <v>76614.411867798524</v>
      </c>
      <c r="AP25" s="49">
        <f>SUM('IS Actual &amp; Forecast'!AO18:AP18)/60</f>
        <v>64307.213099330656</v>
      </c>
    </row>
    <row r="26" spans="1:43" x14ac:dyDescent="0.15">
      <c r="A26" s="29" t="s">
        <v>60</v>
      </c>
      <c r="C26" s="48">
        <f>+'BS Actual &amp; Forecast'!C12</f>
        <v>163581</v>
      </c>
      <c r="D26" s="48">
        <f>+'BS Actual &amp; Forecast'!D12</f>
        <v>181493.93380800006</v>
      </c>
      <c r="E26" s="48">
        <f>+'BS Actual &amp; Forecast'!E12</f>
        <v>144384.66219936009</v>
      </c>
      <c r="F26" s="48">
        <f>+'BS Actual &amp; Forecast'!F12</f>
        <v>189063.24036231381</v>
      </c>
      <c r="G26" s="48">
        <f>+'BS Actual &amp; Forecast'!G12</f>
        <v>222725.65804981673</v>
      </c>
      <c r="H26" s="48">
        <f>+'BS Actual &amp; Forecast'!H12</f>
        <v>185915.58572140452</v>
      </c>
      <c r="I26" s="48">
        <f>+'BS Actual &amp; Forecast'!I12</f>
        <v>237871.56013791473</v>
      </c>
      <c r="J26" s="48">
        <f>+'BS Actual &amp; Forecast'!J12</f>
        <v>174247.58158791461</v>
      </c>
      <c r="K26" s="48">
        <f>+'BS Actual &amp; Forecast'!K12</f>
        <v>137882.13733624364</v>
      </c>
      <c r="L26" s="48">
        <f>+'BS Actual &amp; Forecast'!L12</f>
        <v>104934.87290359498</v>
      </c>
      <c r="M26" s="48">
        <f>+'BS Actual &amp; Forecast'!M12</f>
        <v>150537.13999519055</v>
      </c>
      <c r="N26" s="48">
        <f>+'BS Actual &amp; Forecast'!N12</f>
        <v>188044.52764913067</v>
      </c>
      <c r="P26" s="41"/>
      <c r="Q26" s="48">
        <f>+'BS Actual &amp; Forecast'!Q12</f>
        <v>243163.33758257888</v>
      </c>
      <c r="R26" s="48">
        <f>+'BS Actual &amp; Forecast'!R12</f>
        <v>178856.98256087885</v>
      </c>
      <c r="S26" s="48">
        <f>+'BS Actual &amp; Forecast'!S12</f>
        <v>141621.94854891067</v>
      </c>
      <c r="T26" s="48">
        <f>+'BS Actual &amp; Forecast'!T12</f>
        <v>107647.30443544593</v>
      </c>
      <c r="U26" s="48">
        <f>+'BS Actual &amp; Forecast'!U12</f>
        <v>154673.16003045649</v>
      </c>
      <c r="V26" s="48">
        <f>+'BS Actual &amp; Forecast'!V12</f>
        <v>193765.13446601923</v>
      </c>
      <c r="W26" s="48">
        <f>+W24*W25</f>
        <v>146486.82865644898</v>
      </c>
      <c r="X26" s="48">
        <f t="shared" ref="X26:AB26" si="15">+X24*X25</f>
        <v>184201.11543840606</v>
      </c>
      <c r="Y26" s="48">
        <f t="shared" si="15"/>
        <v>222040.34787913624</v>
      </c>
      <c r="Z26" s="48">
        <f t="shared" si="15"/>
        <v>238840.99586919235</v>
      </c>
      <c r="AA26" s="48">
        <f t="shared" si="15"/>
        <v>231079.34343654299</v>
      </c>
      <c r="AB26" s="48">
        <f t="shared" si="15"/>
        <v>207979.8810043768</v>
      </c>
      <c r="AE26" s="48">
        <f t="shared" ref="AE26:AP26" si="16">+AE24*AE25</f>
        <v>138938.47114979476</v>
      </c>
      <c r="AF26" s="48">
        <f t="shared" si="16"/>
        <v>313024.13258502563</v>
      </c>
      <c r="AG26" s="48">
        <f t="shared" si="16"/>
        <v>283105.22538339614</v>
      </c>
      <c r="AH26" s="48">
        <f t="shared" si="16"/>
        <v>194297.08952539699</v>
      </c>
      <c r="AI26" s="48">
        <f t="shared" si="16"/>
        <v>175822.1924401157</v>
      </c>
      <c r="AJ26" s="48">
        <f t="shared" si="16"/>
        <v>184385.31133148784</v>
      </c>
      <c r="AK26" s="48">
        <f t="shared" si="16"/>
        <v>202253.46620421472</v>
      </c>
      <c r="AL26" s="48">
        <f t="shared" si="16"/>
        <v>243797.9834668347</v>
      </c>
      <c r="AM26" s="48">
        <f t="shared" si="16"/>
        <v>271053.95242227387</v>
      </c>
      <c r="AN26" s="48">
        <f t="shared" si="16"/>
        <v>257493.8272299525</v>
      </c>
      <c r="AO26" s="48">
        <f t="shared" si="16"/>
        <v>229843.23560339556</v>
      </c>
      <c r="AP26" s="48">
        <f t="shared" si="16"/>
        <v>192921.63929799196</v>
      </c>
    </row>
    <row r="27" spans="1:43" x14ac:dyDescent="0.15">
      <c r="P27" s="41"/>
    </row>
    <row r="28" spans="1:43" x14ac:dyDescent="0.15">
      <c r="A28" s="97" t="s">
        <v>38</v>
      </c>
      <c r="B28" s="90"/>
      <c r="C28" s="99">
        <f>+'POM Actual &amp; Forecast'!C51</f>
        <v>0</v>
      </c>
      <c r="D28" s="99">
        <f>+'POM Actual &amp; Forecast'!D51</f>
        <v>0</v>
      </c>
      <c r="E28" s="99">
        <f>+'POM Actual &amp; Forecast'!E51</f>
        <v>-15545</v>
      </c>
      <c r="F28" s="99">
        <f>+'POM Actual &amp; Forecast'!F51</f>
        <v>0</v>
      </c>
      <c r="G28" s="99">
        <f>+'POM Actual &amp; Forecast'!G51</f>
        <v>-3590</v>
      </c>
      <c r="H28" s="99">
        <f>+'POM Actual &amp; Forecast'!H51</f>
        <v>0</v>
      </c>
      <c r="I28" s="99">
        <f>+'POM Actual &amp; Forecast'!I51</f>
        <v>0</v>
      </c>
      <c r="J28" s="99">
        <f>+'POM Actual &amp; Forecast'!J51</f>
        <v>-23989</v>
      </c>
      <c r="K28" s="99">
        <f>+'POM Actual &amp; Forecast'!K51</f>
        <v>0</v>
      </c>
      <c r="L28" s="99">
        <f>+'POM Actual &amp; Forecast'!L51</f>
        <v>-4470</v>
      </c>
      <c r="M28" s="99">
        <f>+'POM Actual &amp; Forecast'!M51</f>
        <v>0</v>
      </c>
      <c r="N28" s="99">
        <f>+'POM Actual &amp; Forecast'!N51</f>
        <v>0</v>
      </c>
      <c r="O28" s="99">
        <f>SUM(C28:N28)</f>
        <v>-47594</v>
      </c>
      <c r="P28" s="41"/>
      <c r="Q28" s="103">
        <f>+'POM Actual &amp; Forecast'!Q51</f>
        <v>-11250</v>
      </c>
      <c r="R28" s="103">
        <f>+'POM Actual &amp; Forecast'!R51</f>
        <v>0</v>
      </c>
      <c r="S28" s="103">
        <f>+'POM Actual &amp; Forecast'!S51</f>
        <v>-18752</v>
      </c>
      <c r="T28" s="103">
        <f>+'POM Actual &amp; Forecast'!T51</f>
        <v>0</v>
      </c>
      <c r="U28" s="103">
        <f>+'POM Actual &amp; Forecast'!U51</f>
        <v>0</v>
      </c>
      <c r="V28" s="103">
        <f>+'POM Actual &amp; Forecast'!V51</f>
        <v>0</v>
      </c>
      <c r="W28" s="103">
        <v>-25000</v>
      </c>
      <c r="X28" s="103">
        <v>0</v>
      </c>
      <c r="Y28" s="103">
        <v>0</v>
      </c>
      <c r="Z28" s="103">
        <v>-15000</v>
      </c>
      <c r="AA28" s="103">
        <v>0</v>
      </c>
      <c r="AB28" s="103">
        <v>0</v>
      </c>
      <c r="AC28" s="99">
        <f>SUM(Q28:AB28)</f>
        <v>-70002</v>
      </c>
      <c r="AE28" s="110">
        <v>-15000</v>
      </c>
      <c r="AF28" s="110">
        <f>+'BS Actual &amp; Forecast'!AE24-'BS Actual &amp; Forecast'!AF24</f>
        <v>0</v>
      </c>
      <c r="AG28" s="110">
        <v>-10000</v>
      </c>
      <c r="AH28" s="110">
        <f>+'BS Actual &amp; Forecast'!AG24-'BS Actual &amp; Forecast'!AH24</f>
        <v>0</v>
      </c>
      <c r="AI28" s="110">
        <f>+'BS Actual &amp; Forecast'!AH24-'BS Actual &amp; Forecast'!AI24</f>
        <v>0</v>
      </c>
      <c r="AJ28" s="110">
        <v>-25000</v>
      </c>
      <c r="AK28" s="110">
        <f>+'BS Actual &amp; Forecast'!AJ24-'BS Actual &amp; Forecast'!AK24</f>
        <v>0</v>
      </c>
      <c r="AL28" s="110">
        <f>+'BS Actual &amp; Forecast'!AK24-'BS Actual &amp; Forecast'!AL24</f>
        <v>0</v>
      </c>
      <c r="AM28" s="110">
        <v>-50000</v>
      </c>
      <c r="AN28" s="110">
        <f>+'BS Actual &amp; Forecast'!AM24-'BS Actual &amp; Forecast'!AN24</f>
        <v>0</v>
      </c>
      <c r="AO28" s="110">
        <f>+'BS Actual &amp; Forecast'!AN24-'BS Actual &amp; Forecast'!AO24</f>
        <v>0</v>
      </c>
      <c r="AP28" s="110">
        <f>+'BS Actual &amp; Forecast'!AO24-'BS Actual &amp; Forecast'!AP24</f>
        <v>0</v>
      </c>
      <c r="AQ28" s="99">
        <f>SUM(AE28:AP28)</f>
        <v>-100000</v>
      </c>
    </row>
    <row r="29" spans="1:43" x14ac:dyDescent="0.15">
      <c r="P29" s="41"/>
      <c r="W29" s="106"/>
    </row>
    <row r="30" spans="1:43" x14ac:dyDescent="0.15">
      <c r="A30" s="121" t="s">
        <v>221</v>
      </c>
      <c r="B30" s="90"/>
      <c r="C30" s="98" t="s">
        <v>106</v>
      </c>
      <c r="D30" s="98" t="s">
        <v>106</v>
      </c>
      <c r="E30" s="102">
        <f>+E32/E31</f>
        <v>31.570473837036712</v>
      </c>
      <c r="F30" s="102">
        <f t="shared" ref="F30:N30" si="17">+F32/F31</f>
        <v>23.998769016116718</v>
      </c>
      <c r="G30" s="102">
        <f t="shared" si="17"/>
        <v>29.524406090768878</v>
      </c>
      <c r="H30" s="102">
        <f t="shared" si="17"/>
        <v>34.01470847763153</v>
      </c>
      <c r="I30" s="102">
        <f t="shared" si="17"/>
        <v>28.891413040828418</v>
      </c>
      <c r="J30" s="102">
        <f t="shared" si="17"/>
        <v>35.002677828988837</v>
      </c>
      <c r="K30" s="102">
        <f t="shared" si="17"/>
        <v>27.882310382637744</v>
      </c>
      <c r="L30" s="102">
        <f t="shared" si="17"/>
        <v>24.662919441576232</v>
      </c>
      <c r="M30" s="102">
        <f t="shared" si="17"/>
        <v>25.75342522708743</v>
      </c>
      <c r="N30" s="102">
        <f t="shared" si="17"/>
        <v>23.150516506743859</v>
      </c>
      <c r="O30" s="90"/>
      <c r="P30" s="41"/>
      <c r="Q30" s="102">
        <f t="shared" ref="Q30:V30" si="18">+Q32/Q31</f>
        <v>27.960523367555599</v>
      </c>
      <c r="R30" s="102">
        <f t="shared" si="18"/>
        <v>23.556951370930655</v>
      </c>
      <c r="S30" s="102">
        <f t="shared" si="18"/>
        <v>25.830342870390677</v>
      </c>
      <c r="T30" s="102">
        <f t="shared" si="18"/>
        <v>26.434623862124017</v>
      </c>
      <c r="U30" s="102">
        <f t="shared" si="18"/>
        <v>26.511625795856965</v>
      </c>
      <c r="V30" s="102">
        <f t="shared" si="18"/>
        <v>24.924288025363911</v>
      </c>
      <c r="W30" s="102">
        <v>25</v>
      </c>
      <c r="X30" s="102">
        <v>25</v>
      </c>
      <c r="Y30" s="102">
        <v>25</v>
      </c>
      <c r="Z30" s="102">
        <v>25</v>
      </c>
      <c r="AA30" s="102">
        <v>25</v>
      </c>
      <c r="AB30" s="102">
        <v>25</v>
      </c>
      <c r="AC30" s="90"/>
      <c r="AE30" s="102">
        <v>25</v>
      </c>
      <c r="AF30" s="102">
        <v>25</v>
      </c>
      <c r="AG30" s="102">
        <v>25</v>
      </c>
      <c r="AH30" s="102">
        <v>25</v>
      </c>
      <c r="AI30" s="102">
        <v>25</v>
      </c>
      <c r="AJ30" s="102">
        <v>25</v>
      </c>
      <c r="AK30" s="102">
        <v>25</v>
      </c>
      <c r="AL30" s="102">
        <v>25</v>
      </c>
      <c r="AM30" s="102">
        <v>25</v>
      </c>
      <c r="AN30" s="102">
        <v>25</v>
      </c>
      <c r="AO30" s="102">
        <v>25</v>
      </c>
      <c r="AP30" s="102">
        <v>25</v>
      </c>
      <c r="AQ30" s="90"/>
    </row>
    <row r="31" spans="1:43" x14ac:dyDescent="0.15">
      <c r="A31" s="29" t="s">
        <v>109</v>
      </c>
      <c r="C31" s="41" t="s">
        <v>106</v>
      </c>
      <c r="D31" s="41" t="s">
        <v>106</v>
      </c>
      <c r="E31" s="49">
        <f>(SUM('IS for importing to SW'!C18:D18)+SUM('IS for importing to SW'!C24:D35))/60</f>
        <v>59512.740384166667</v>
      </c>
      <c r="F31" s="49">
        <f>(SUM('IS for importing to SW'!D18:E18)+SUM('IS for importing to SW'!D24:E35))/60</f>
        <v>62838.779017557143</v>
      </c>
      <c r="G31" s="49">
        <f>(SUM('IS for importing to SW'!E18:F18)+SUM('IS for importing to SW'!E24:F35))/60</f>
        <v>57726.171226572842</v>
      </c>
      <c r="H31" s="49">
        <f>(SUM('IS for importing to SW'!F18:G18)+SUM('IS for importing to SW'!F24:G35))/60</f>
        <v>54790.912902138109</v>
      </c>
      <c r="I31" s="49">
        <f>(SUM('IS for importing to SW'!G18:H18)+SUM('IS for importing to SW'!G24:H35))/60</f>
        <v>60699.354271675991</v>
      </c>
      <c r="J31" s="49">
        <f>(SUM('IS for importing to SW'!H18:I18)+SUM('IS for importing to SW'!H24:I35))/60</f>
        <v>61353.15663646828</v>
      </c>
      <c r="K31" s="49">
        <f>(SUM('IS for importing to SW'!I18:J18)+SUM('IS for importing to SW'!I24:J35))/60</f>
        <v>66034.175394770005</v>
      </c>
      <c r="L31" s="49">
        <f>(SUM('IS for importing to SW'!J18:K18)+SUM('IS for importing to SW'!J24:K35))/60</f>
        <v>67636.86912093994</v>
      </c>
      <c r="M31" s="49">
        <f>(SUM('IS for importing to SW'!K18:L18)+SUM('IS for importing to SW'!K24:L35))/60</f>
        <v>59768.009857877812</v>
      </c>
      <c r="N31" s="49">
        <f>(SUM('IS for importing to SW'!L18:M18)+SUM('IS for importing to SW'!L24:M35))/60</f>
        <v>54685.664289891254</v>
      </c>
      <c r="P31" s="41"/>
      <c r="Q31" s="49">
        <f>(SUM('IS Actual &amp; Forecast'!M18:N18)+SUM('IS Actual &amp; Forecast'!M24:N35))/60</f>
        <v>47976.153957902599</v>
      </c>
      <c r="R31" s="49">
        <f>(SUM('IS Actual &amp; Forecast'!Q18:R18)+SUM('IS Actual &amp; Forecast'!Q24:R35))/60</f>
        <v>68363.530936887852</v>
      </c>
      <c r="S31" s="49">
        <f>(SUM('IS Actual &amp; Forecast'!R18:S18)+SUM('IS Actual &amp; Forecast'!R24:S35))/60</f>
        <v>68824.846141056754</v>
      </c>
      <c r="T31" s="49">
        <f>(SUM('IS Actual &amp; Forecast'!S18:T18)+SUM('IS Actual &amp; Forecast'!S24:T35))/60</f>
        <v>61362.839267450217</v>
      </c>
      <c r="U31" s="49">
        <f>(SUM('IS Actual &amp; Forecast'!T18:U18)+SUM('IS Actual &amp; Forecast'!T24:U35))/60</f>
        <v>56458.944012671127</v>
      </c>
      <c r="V31" s="49">
        <f>(SUM('IS Actual &amp; Forecast'!U18:V18)+SUM('IS Actual &amp; Forecast'!U24:V35))/60</f>
        <v>49922.606373226146</v>
      </c>
      <c r="W31" s="49">
        <f>(SUM('IS Actual &amp; Forecast'!V18:W18)+SUM('IS Actual &amp; Forecast'!V24:W35))/60</f>
        <v>50879.937755429797</v>
      </c>
      <c r="X31" s="49">
        <f>(SUM('IS Actual &amp; Forecast'!W18:X18)+SUM('IS Actual &amp; Forecast'!W24:X35))/60</f>
        <v>63484.842478212711</v>
      </c>
      <c r="Y31" s="49">
        <f>(SUM('IS Actual &amp; Forecast'!X18:Y18)+SUM('IS Actual &amp; Forecast'!X24:Y35))/60</f>
        <v>76106.581331776877</v>
      </c>
      <c r="Z31" s="49">
        <f>(SUM('IS Actual &amp; Forecast'!Y18:Z18)+SUM('IS Actual &amp; Forecast'!Y24:Z35))/60</f>
        <v>81715.545315516225</v>
      </c>
      <c r="AA31" s="49">
        <f>(SUM('IS Actual &amp; Forecast'!Z18:AA18)+SUM('IS Actual &amp; Forecast'!Z24:AA35))/60</f>
        <v>79137.163304890957</v>
      </c>
      <c r="AB31" s="49">
        <f>(SUM('IS Actual &amp; Forecast'!AA18:AB18)+SUM('IS Actual &amp; Forecast'!AA24:AB35))/60</f>
        <v>71446.266315762667</v>
      </c>
      <c r="AE31" s="49">
        <f>(SUM('IS Actual &amp; Forecast'!AD18:AE18)+SUM('IS Actual &amp; Forecast'!AD24:AE35))/60</f>
        <v>47399.16676659826</v>
      </c>
      <c r="AF31" s="49">
        <f>(SUM('IS Actual &amp; Forecast'!AE18:AF18)+SUM('IS Actual &amp; Forecast'!AE24:AF35))/60</f>
        <v>106510.27188719602</v>
      </c>
      <c r="AG31" s="49">
        <f>(SUM('IS Actual &amp; Forecast'!AF18:AG18)+SUM('IS Actual &amp; Forecast'!AF24:AG35))/60</f>
        <v>96592.417235902889</v>
      </c>
      <c r="AH31" s="49">
        <f>(SUM('IS Actual &amp; Forecast'!AG18:AH18)+SUM('IS Actual &amp; Forecast'!AG24:AH35))/60</f>
        <v>66938.627484630357</v>
      </c>
      <c r="AI31" s="49">
        <f>(SUM('IS Actual &amp; Forecast'!AH18:AI18)+SUM('IS Actual &amp; Forecast'!AH24:AI35))/60</f>
        <v>60726.447020222353</v>
      </c>
      <c r="AJ31" s="49">
        <f>(SUM('IS Actual &amp; Forecast'!AI18:AJ18)+SUM('IS Actual &amp; Forecast'!AI24:AJ35))/60</f>
        <v>63631.986673165251</v>
      </c>
      <c r="AK31" s="49">
        <f>(SUM('IS Actual &amp; Forecast'!AJ18:AK18)+SUM('IS Actual &amp; Forecast'!AJ24:AK35))/60</f>
        <v>69590.903785899471</v>
      </c>
      <c r="AL31" s="49">
        <f>(SUM('IS Actual &amp; Forecast'!AK18:AL18)+SUM('IS Actual &amp; Forecast'!AK24:AL35))/60</f>
        <v>83451.315940984554</v>
      </c>
      <c r="AM31" s="49">
        <f>(SUM('IS Actual &amp; Forecast'!AL18:AM18)+SUM('IS Actual &amp; Forecast'!AL24:AM35))/60</f>
        <v>92545.560140651374</v>
      </c>
      <c r="AN31" s="49">
        <f>(SUM('IS Actual &amp; Forecast'!AM18:AN18)+SUM('IS Actual &amp; Forecast'!AM24:AN35))/60</f>
        <v>88034.528836543162</v>
      </c>
      <c r="AO31" s="49">
        <f>(SUM('IS Actual &amp; Forecast'!AN18:AO18)+SUM('IS Actual &amp; Forecast'!AN24:AO35))/60</f>
        <v>78826.765491956452</v>
      </c>
      <c r="AP31" s="49">
        <f>(SUM('IS Actual &amp; Forecast'!AO18:AP18)+SUM('IS Actual &amp; Forecast'!AO24:AP35))/60</f>
        <v>66528.758259730166</v>
      </c>
    </row>
    <row r="32" spans="1:43" x14ac:dyDescent="0.15">
      <c r="A32" s="29" t="s">
        <v>103</v>
      </c>
      <c r="C32" s="48">
        <f>+'BS Actual &amp; Forecast'!C31</f>
        <v>1684389</v>
      </c>
      <c r="D32" s="48">
        <f>+'BS Actual &amp; Forecast'!D31</f>
        <v>1813866.5656542056</v>
      </c>
      <c r="E32" s="48">
        <f>+'BS Actual &amp; Forecast'!E31</f>
        <v>1878845.4132686919</v>
      </c>
      <c r="F32" s="48">
        <f>+'BS Actual &amp; Forecast'!F31</f>
        <v>1508053.3428971558</v>
      </c>
      <c r="G32" s="48">
        <f>+'BS Actual &amp; Forecast'!G31</f>
        <v>1704330.9213585944</v>
      </c>
      <c r="H32" s="48">
        <f>+'BS Actual &amp; Forecast'!H31</f>
        <v>1863696.9295895279</v>
      </c>
      <c r="I32" s="48">
        <f>+'BS Actual &amp; Forecast'!I31</f>
        <v>1753690.1155745639</v>
      </c>
      <c r="J32" s="48">
        <f>+'BS Actual &amp; Forecast'!J31</f>
        <v>2147524.7755377875</v>
      </c>
      <c r="K32" s="48">
        <f>+'BS Actual &amp; Forecast'!K31</f>
        <v>1841185.3742185177</v>
      </c>
      <c r="L32" s="48">
        <f>+'BS Actual &amp; Forecast'!L31</f>
        <v>1668122.6544101767</v>
      </c>
      <c r="M32" s="48">
        <f>+'BS Actual &amp; Forecast'!M31</f>
        <v>1539230.9728466806</v>
      </c>
      <c r="N32" s="48">
        <f>+'BS Actual &amp; Forecast'!N31</f>
        <v>1266001.3738253806</v>
      </c>
      <c r="P32" s="41"/>
      <c r="Q32" s="48">
        <f>+'BS Actual &amp; Forecast'!Q31</f>
        <v>1341438.3738253806</v>
      </c>
      <c r="R32" s="48">
        <f>+'BS Actual &amp; Forecast'!R31</f>
        <v>1610436.3738253806</v>
      </c>
      <c r="S32" s="48">
        <f>+'BS Actual &amp; Forecast'!S31</f>
        <v>1777769.3738253806</v>
      </c>
      <c r="T32" s="48">
        <f>+'BS Actual &amp; Forecast'!T31</f>
        <v>1622103.5751470202</v>
      </c>
      <c r="U32" s="48">
        <f>+'BS Actual &amp; Forecast'!U31</f>
        <v>1496818.396493176</v>
      </c>
      <c r="V32" s="48">
        <f>+'BS Actual &amp; Forecast'!V31</f>
        <v>1244285.4202231565</v>
      </c>
      <c r="W32" s="48">
        <f>+W30*W31</f>
        <v>1271998.443885745</v>
      </c>
      <c r="X32" s="48">
        <f t="shared" ref="X32:AB32" si="19">+X30*X31</f>
        <v>1587121.0619553179</v>
      </c>
      <c r="Y32" s="48">
        <f t="shared" si="19"/>
        <v>1902664.5332944219</v>
      </c>
      <c r="Z32" s="48">
        <f t="shared" si="19"/>
        <v>2042888.6328879057</v>
      </c>
      <c r="AA32" s="48">
        <f t="shared" si="19"/>
        <v>1978429.0826222738</v>
      </c>
      <c r="AB32" s="48">
        <f t="shared" si="19"/>
        <v>1786156.6578940668</v>
      </c>
      <c r="AE32" s="48">
        <f t="shared" ref="AE32:AP32" si="20">+AE30*AE31</f>
        <v>1184979.1691649565</v>
      </c>
      <c r="AF32" s="48">
        <f t="shared" si="20"/>
        <v>2662756.7971799006</v>
      </c>
      <c r="AG32" s="48">
        <f t="shared" si="20"/>
        <v>2414810.4308975721</v>
      </c>
      <c r="AH32" s="48">
        <f t="shared" si="20"/>
        <v>1673465.6871157589</v>
      </c>
      <c r="AI32" s="48">
        <f t="shared" si="20"/>
        <v>1518161.1755055587</v>
      </c>
      <c r="AJ32" s="48">
        <f t="shared" si="20"/>
        <v>1590799.6668291313</v>
      </c>
      <c r="AK32" s="48">
        <f t="shared" si="20"/>
        <v>1739772.5946474867</v>
      </c>
      <c r="AL32" s="48">
        <f t="shared" si="20"/>
        <v>2086282.8985246138</v>
      </c>
      <c r="AM32" s="48">
        <f t="shared" si="20"/>
        <v>2313639.0035162843</v>
      </c>
      <c r="AN32" s="48">
        <f t="shared" si="20"/>
        <v>2200863.2209135792</v>
      </c>
      <c r="AO32" s="48">
        <f t="shared" si="20"/>
        <v>1970669.1372989113</v>
      </c>
      <c r="AP32" s="48">
        <f t="shared" si="20"/>
        <v>1663218.9564932541</v>
      </c>
    </row>
    <row r="33" spans="1:43" x14ac:dyDescent="0.15">
      <c r="P33" s="41"/>
    </row>
    <row r="34" spans="1:43" x14ac:dyDescent="0.15">
      <c r="A34" s="90" t="s">
        <v>170</v>
      </c>
      <c r="B34" s="90"/>
      <c r="C34" s="104">
        <f>+'POM Actual &amp; Forecast'!C43</f>
        <v>-10000</v>
      </c>
      <c r="D34" s="104">
        <f>+'POM Actual &amp; Forecast'!D43</f>
        <v>-10000</v>
      </c>
      <c r="E34" s="104">
        <f>+'POM Actual &amp; Forecast'!E43</f>
        <v>-10000</v>
      </c>
      <c r="F34" s="104">
        <f>+'POM Actual &amp; Forecast'!F43</f>
        <v>-10000</v>
      </c>
      <c r="G34" s="104">
        <f>+'POM Actual &amp; Forecast'!G43</f>
        <v>-10000</v>
      </c>
      <c r="H34" s="104">
        <f>+'POM Actual &amp; Forecast'!H43</f>
        <v>-10000</v>
      </c>
      <c r="I34" s="104">
        <f>+'POM Actual &amp; Forecast'!I43</f>
        <v>-10000</v>
      </c>
      <c r="J34" s="104">
        <f>+'POM Actual &amp; Forecast'!J43</f>
        <v>-10000</v>
      </c>
      <c r="K34" s="104">
        <f>+'POM Actual &amp; Forecast'!K43</f>
        <v>-10000</v>
      </c>
      <c r="L34" s="104">
        <f>+'POM Actual &amp; Forecast'!L43</f>
        <v>-10000</v>
      </c>
      <c r="M34" s="104">
        <f>+'POM Actual &amp; Forecast'!M43</f>
        <v>-10000</v>
      </c>
      <c r="N34" s="104">
        <f>+'POM Actual &amp; Forecast'!N43</f>
        <v>-10000</v>
      </c>
      <c r="O34" s="99">
        <f>SUM(C34:N34)</f>
        <v>-120000</v>
      </c>
      <c r="P34" s="41"/>
      <c r="Q34" s="104">
        <f>+'POM Actual &amp; Forecast'!Q43</f>
        <v>-10000</v>
      </c>
      <c r="R34" s="104">
        <f>+'POM Actual &amp; Forecast'!R43</f>
        <v>-10000</v>
      </c>
      <c r="S34" s="104">
        <f>+'POM Actual &amp; Forecast'!S43</f>
        <v>-10000</v>
      </c>
      <c r="T34" s="104">
        <f>+'POM Actual &amp; Forecast'!T43</f>
        <v>-10000</v>
      </c>
      <c r="U34" s="104">
        <f>+'POM Actual &amp; Forecast'!U43</f>
        <v>-10000</v>
      </c>
      <c r="V34" s="104">
        <f>+'POM Actual &amp; Forecast'!V43</f>
        <v>-10000</v>
      </c>
      <c r="W34" s="110">
        <v>-10000</v>
      </c>
      <c r="X34" s="110">
        <v>-10000</v>
      </c>
      <c r="Y34" s="110">
        <v>-10000</v>
      </c>
      <c r="Z34" s="110">
        <v>-10000</v>
      </c>
      <c r="AA34" s="110">
        <v>-10000</v>
      </c>
      <c r="AB34" s="110">
        <v>-10000</v>
      </c>
      <c r="AC34" s="99">
        <f>SUM(Q34:AB34)</f>
        <v>-120000</v>
      </c>
      <c r="AE34" s="110">
        <v>-10000</v>
      </c>
      <c r="AF34" s="110">
        <v>-10000</v>
      </c>
      <c r="AG34" s="110">
        <v>-10000</v>
      </c>
      <c r="AH34" s="110">
        <v>-10000</v>
      </c>
      <c r="AI34" s="110">
        <v>-10000</v>
      </c>
      <c r="AJ34" s="110">
        <v>-10000</v>
      </c>
      <c r="AK34" s="110">
        <f>-'BS Actual &amp; Forecast'!AJ32/6</f>
        <v>-31375</v>
      </c>
      <c r="AL34" s="110">
        <f>+AK34</f>
        <v>-31375</v>
      </c>
      <c r="AM34" s="110">
        <f t="shared" ref="AM34:AP35" si="21">+AL34</f>
        <v>-31375</v>
      </c>
      <c r="AN34" s="110">
        <f t="shared" si="21"/>
        <v>-31375</v>
      </c>
      <c r="AO34" s="110">
        <f t="shared" si="21"/>
        <v>-31375</v>
      </c>
      <c r="AP34" s="110">
        <f t="shared" si="21"/>
        <v>-31375</v>
      </c>
      <c r="AQ34" s="99">
        <f>SUM(AE34:AP34)</f>
        <v>-248250</v>
      </c>
    </row>
    <row r="35" spans="1:43" x14ac:dyDescent="0.15">
      <c r="A35" s="90" t="s">
        <v>171</v>
      </c>
      <c r="B35" s="90"/>
      <c r="C35" s="104">
        <f>+'POM Actual &amp; Forecast'!C44</f>
        <v>-5000</v>
      </c>
      <c r="D35" s="104">
        <f>+'POM Actual &amp; Forecast'!D44</f>
        <v>-5000</v>
      </c>
      <c r="E35" s="104">
        <f>+'POM Actual &amp; Forecast'!E44</f>
        <v>-5000</v>
      </c>
      <c r="F35" s="104">
        <f>+'POM Actual &amp; Forecast'!F44</f>
        <v>-5000</v>
      </c>
      <c r="G35" s="104">
        <f>+'POM Actual &amp; Forecast'!G44</f>
        <v>-5000</v>
      </c>
      <c r="H35" s="104">
        <f>+'POM Actual &amp; Forecast'!H44</f>
        <v>-5000</v>
      </c>
      <c r="I35" s="104">
        <f>+'POM Actual &amp; Forecast'!I44</f>
        <v>-5000</v>
      </c>
      <c r="J35" s="104">
        <f>+'POM Actual &amp; Forecast'!J44</f>
        <v>-5000</v>
      </c>
      <c r="K35" s="104">
        <f>+'POM Actual &amp; Forecast'!K44</f>
        <v>-5000</v>
      </c>
      <c r="L35" s="104">
        <f>+'POM Actual &amp; Forecast'!L44</f>
        <v>-5000</v>
      </c>
      <c r="M35" s="104">
        <f>+'POM Actual &amp; Forecast'!M44</f>
        <v>-5000</v>
      </c>
      <c r="N35" s="104">
        <f>+'POM Actual &amp; Forecast'!N44</f>
        <v>-5000</v>
      </c>
      <c r="O35" s="99">
        <f>SUM(C35:N35)</f>
        <v>-60000</v>
      </c>
      <c r="P35" s="41"/>
      <c r="Q35" s="104">
        <f>+'POM Actual &amp; Forecast'!Q44</f>
        <v>-5000</v>
      </c>
      <c r="R35" s="104">
        <f>+'POM Actual &amp; Forecast'!R44</f>
        <v>-5000</v>
      </c>
      <c r="S35" s="104">
        <f>+'POM Actual &amp; Forecast'!S44</f>
        <v>-5000</v>
      </c>
      <c r="T35" s="104">
        <f>+'POM Actual &amp; Forecast'!T44</f>
        <v>-5000</v>
      </c>
      <c r="U35" s="104">
        <f>+'POM Actual &amp; Forecast'!U44</f>
        <v>-5000</v>
      </c>
      <c r="V35" s="104">
        <f>+'POM Actual &amp; Forecast'!V44</f>
        <v>-5000</v>
      </c>
      <c r="W35" s="110">
        <v>-5000</v>
      </c>
      <c r="X35" s="110">
        <v>-5000</v>
      </c>
      <c r="Y35" s="110">
        <v>-5000</v>
      </c>
      <c r="Z35" s="110">
        <v>-5000</v>
      </c>
      <c r="AA35" s="110">
        <v>-5000</v>
      </c>
      <c r="AB35" s="110">
        <v>-5000</v>
      </c>
      <c r="AC35" s="99">
        <f>SUM(Q35:AB35)</f>
        <v>-60000</v>
      </c>
      <c r="AE35" s="110">
        <v>-5000</v>
      </c>
      <c r="AF35" s="110">
        <v>-5000</v>
      </c>
      <c r="AG35" s="110">
        <v>-5000</v>
      </c>
      <c r="AH35" s="110">
        <v>-5000</v>
      </c>
      <c r="AI35" s="110">
        <v>-5000</v>
      </c>
      <c r="AJ35" s="110">
        <v>-5000</v>
      </c>
      <c r="AK35" s="110">
        <f>-'BS Actual &amp; Forecast'!AJ37/6</f>
        <v>-170707.5</v>
      </c>
      <c r="AL35" s="110">
        <f>+AK35</f>
        <v>-170707.5</v>
      </c>
      <c r="AM35" s="110">
        <f t="shared" si="21"/>
        <v>-170707.5</v>
      </c>
      <c r="AN35" s="110">
        <f t="shared" si="21"/>
        <v>-170707.5</v>
      </c>
      <c r="AO35" s="110">
        <f t="shared" si="21"/>
        <v>-170707.5</v>
      </c>
      <c r="AP35" s="110">
        <f t="shared" si="21"/>
        <v>-170707.5</v>
      </c>
      <c r="AQ35" s="99">
        <f>SUM(AE35:AP35)</f>
        <v>-1054245</v>
      </c>
    </row>
    <row r="36" spans="1:43" x14ac:dyDescent="0.15">
      <c r="P36" s="41"/>
    </row>
    <row r="37" spans="1:43" x14ac:dyDescent="0.15">
      <c r="P37" s="41"/>
    </row>
    <row r="38" spans="1:43" x14ac:dyDescent="0.15">
      <c r="A38" s="97" t="s">
        <v>96</v>
      </c>
      <c r="B38" s="90"/>
      <c r="C38" s="105">
        <f>+'POM Actual &amp; Forecast'!C64</f>
        <v>-75000</v>
      </c>
      <c r="D38" s="105">
        <f>+'POM Actual &amp; Forecast'!D64</f>
        <v>-75000</v>
      </c>
      <c r="E38" s="105">
        <f>+'POM Actual &amp; Forecast'!E64</f>
        <v>-75000</v>
      </c>
      <c r="F38" s="105">
        <f>+'POM Actual &amp; Forecast'!F64</f>
        <v>-75000</v>
      </c>
      <c r="G38" s="105">
        <f>+'POM Actual &amp; Forecast'!G64</f>
        <v>-75000</v>
      </c>
      <c r="H38" s="105">
        <f>+'POM Actual &amp; Forecast'!H64</f>
        <v>-75000</v>
      </c>
      <c r="I38" s="105">
        <f>+'POM Actual &amp; Forecast'!I64</f>
        <v>-75000</v>
      </c>
      <c r="J38" s="105">
        <f>+'POM Actual &amp; Forecast'!J64</f>
        <v>-75000</v>
      </c>
      <c r="K38" s="105">
        <f>+'POM Actual &amp; Forecast'!K64</f>
        <v>-75000</v>
      </c>
      <c r="L38" s="105">
        <f>+'POM Actual &amp; Forecast'!L64</f>
        <v>-75000</v>
      </c>
      <c r="M38" s="105">
        <f>+'POM Actual &amp; Forecast'!M64</f>
        <v>-75000</v>
      </c>
      <c r="N38" s="105">
        <f>+'POM Actual &amp; Forecast'!N64</f>
        <v>-400000</v>
      </c>
      <c r="O38" s="99">
        <f>SUM(C38:N38)</f>
        <v>-1225000</v>
      </c>
      <c r="P38" s="41"/>
      <c r="Q38" s="105">
        <f>+'POM Actual &amp; Forecast'!Q64</f>
        <v>-100000</v>
      </c>
      <c r="R38" s="105">
        <f>+'POM Actual &amp; Forecast'!R64</f>
        <v>-100000</v>
      </c>
      <c r="S38" s="105">
        <f>+'POM Actual &amp; Forecast'!S64</f>
        <v>-100000</v>
      </c>
      <c r="T38" s="105">
        <f>+'POM Actual &amp; Forecast'!T64</f>
        <v>-100000</v>
      </c>
      <c r="U38" s="105">
        <f>+'POM Actual &amp; Forecast'!U64</f>
        <v>-100000</v>
      </c>
      <c r="V38" s="105">
        <f>+'POM Actual &amp; Forecast'!V64</f>
        <v>-100000</v>
      </c>
      <c r="W38" s="105">
        <v>-100000</v>
      </c>
      <c r="X38" s="105">
        <v>0</v>
      </c>
      <c r="Y38" s="105">
        <v>0</v>
      </c>
      <c r="Z38" s="105">
        <v>0</v>
      </c>
      <c r="AA38" s="105">
        <v>0</v>
      </c>
      <c r="AB38" s="105">
        <v>0</v>
      </c>
      <c r="AC38" s="99">
        <f>SUM(Q38:AB38)</f>
        <v>-700000</v>
      </c>
      <c r="AE38" s="105">
        <v>0</v>
      </c>
      <c r="AF38" s="105">
        <v>0</v>
      </c>
      <c r="AG38" s="105">
        <v>-100000</v>
      </c>
      <c r="AH38" s="105">
        <f>+AG38</f>
        <v>-100000</v>
      </c>
      <c r="AI38" s="105">
        <f t="shared" ref="AI38:AO38" si="22">+AH38</f>
        <v>-100000</v>
      </c>
      <c r="AJ38" s="105">
        <f t="shared" si="22"/>
        <v>-100000</v>
      </c>
      <c r="AK38" s="105">
        <f t="shared" si="22"/>
        <v>-100000</v>
      </c>
      <c r="AL38" s="105">
        <f t="shared" si="22"/>
        <v>-100000</v>
      </c>
      <c r="AM38" s="105">
        <f t="shared" si="22"/>
        <v>-100000</v>
      </c>
      <c r="AN38" s="105">
        <f t="shared" si="22"/>
        <v>-100000</v>
      </c>
      <c r="AO38" s="105">
        <f t="shared" si="22"/>
        <v>-100000</v>
      </c>
      <c r="AP38" s="105">
        <v>-600000</v>
      </c>
      <c r="AQ38" s="99">
        <f>SUM(AE38:AP38)</f>
        <v>-1500000</v>
      </c>
    </row>
    <row r="39" spans="1:43" x14ac:dyDescent="0.15">
      <c r="P39" s="41"/>
    </row>
    <row r="40" spans="1:43" x14ac:dyDescent="0.15">
      <c r="A40" s="96" t="s">
        <v>166</v>
      </c>
      <c r="B40" s="90"/>
      <c r="C40" s="98" t="s">
        <v>106</v>
      </c>
      <c r="D40" s="98" t="s">
        <v>106</v>
      </c>
      <c r="E40" s="101">
        <f>+E42/E41</f>
        <v>0.13725127520389438</v>
      </c>
      <c r="F40" s="101">
        <f t="shared" ref="F40:N40" si="23">+F42/F41</f>
        <v>0.15565851193240948</v>
      </c>
      <c r="G40" s="101">
        <f t="shared" si="23"/>
        <v>0.15478544026684396</v>
      </c>
      <c r="H40" s="101">
        <f t="shared" si="23"/>
        <v>0.16771950531441931</v>
      </c>
      <c r="I40" s="101">
        <f t="shared" si="23"/>
        <v>0.16423592935756251</v>
      </c>
      <c r="J40" s="101">
        <f t="shared" si="23"/>
        <v>0.16561413296056302</v>
      </c>
      <c r="K40" s="101">
        <f t="shared" si="23"/>
        <v>0.14251518064827667</v>
      </c>
      <c r="L40" s="101">
        <f t="shared" si="23"/>
        <v>0.13747233338880671</v>
      </c>
      <c r="M40" s="101">
        <f t="shared" si="23"/>
        <v>0.17326737284877422</v>
      </c>
      <c r="N40" s="101">
        <f t="shared" si="23"/>
        <v>0.19552152726361682</v>
      </c>
      <c r="O40" s="90"/>
      <c r="P40" s="41"/>
      <c r="Q40" s="101">
        <f t="shared" ref="Q40:V40" si="24">+Q42/Q41</f>
        <v>0.22621118029235879</v>
      </c>
      <c r="R40" s="101">
        <f t="shared" si="24"/>
        <v>0.1740643362491083</v>
      </c>
      <c r="S40" s="101">
        <f t="shared" si="24"/>
        <v>0.17647172217554391</v>
      </c>
      <c r="T40" s="101">
        <f t="shared" si="24"/>
        <v>0.18602518812552782</v>
      </c>
      <c r="U40" s="101">
        <f t="shared" si="24"/>
        <v>0.19972774277533359</v>
      </c>
      <c r="V40" s="101">
        <f t="shared" si="24"/>
        <v>0.2131298401584123</v>
      </c>
      <c r="W40" s="101">
        <v>0.18</v>
      </c>
      <c r="X40" s="101">
        <v>0.18</v>
      </c>
      <c r="Y40" s="101">
        <v>0.18</v>
      </c>
      <c r="Z40" s="101">
        <v>0.18</v>
      </c>
      <c r="AA40" s="101">
        <v>0.18</v>
      </c>
      <c r="AB40" s="101">
        <v>0.18</v>
      </c>
      <c r="AC40" s="90"/>
      <c r="AE40" s="101">
        <v>0.18</v>
      </c>
      <c r="AF40" s="101">
        <v>0.18</v>
      </c>
      <c r="AG40" s="101">
        <v>0.18</v>
      </c>
      <c r="AH40" s="101">
        <v>0.18</v>
      </c>
      <c r="AI40" s="101">
        <v>0.18</v>
      </c>
      <c r="AJ40" s="101">
        <v>0.18</v>
      </c>
      <c r="AK40" s="101">
        <v>0.18</v>
      </c>
      <c r="AL40" s="101">
        <v>0.18</v>
      </c>
      <c r="AM40" s="101">
        <v>0.18</v>
      </c>
      <c r="AN40" s="101">
        <v>0.18</v>
      </c>
      <c r="AO40" s="101">
        <v>0.18</v>
      </c>
      <c r="AP40" s="101">
        <v>0.18</v>
      </c>
      <c r="AQ40" s="90"/>
    </row>
    <row r="41" spans="1:43" x14ac:dyDescent="0.15">
      <c r="A41" s="54" t="s">
        <v>165</v>
      </c>
      <c r="C41" s="41" t="s">
        <v>106</v>
      </c>
      <c r="D41" s="41" t="s">
        <v>106</v>
      </c>
      <c r="E41" s="23">
        <f t="shared" ref="E41:N41" si="25">+E21*60</f>
        <v>4080837.6000000006</v>
      </c>
      <c r="F41" s="23">
        <f t="shared" si="25"/>
        <v>4317914.8320000004</v>
      </c>
      <c r="G41" s="23">
        <f t="shared" si="25"/>
        <v>3908043.1377600003</v>
      </c>
      <c r="H41" s="23">
        <f t="shared" si="25"/>
        <v>3714865.6134048002</v>
      </c>
      <c r="I41" s="23">
        <f t="shared" si="25"/>
        <v>4173026.986054081</v>
      </c>
      <c r="J41" s="23">
        <f t="shared" si="25"/>
        <v>4262448.9928980973</v>
      </c>
      <c r="K41" s="23">
        <f t="shared" si="25"/>
        <v>4557044.7144888164</v>
      </c>
      <c r="L41" s="23">
        <f t="shared" si="25"/>
        <v>4629724.934495925</v>
      </c>
      <c r="M41" s="23">
        <f t="shared" si="25"/>
        <v>4040604.9168523392</v>
      </c>
      <c r="N41" s="23">
        <f t="shared" si="25"/>
        <v>3688126.6155950073</v>
      </c>
      <c r="P41" s="41"/>
      <c r="Q41" s="23">
        <f t="shared" ref="Q41:AB41" si="26">+Q21*60</f>
        <v>3283398.2481391132</v>
      </c>
      <c r="R41" s="23">
        <f t="shared" si="26"/>
        <v>4693756.0559234815</v>
      </c>
      <c r="S41" s="23">
        <f t="shared" si="26"/>
        <v>4768616.6825308036</v>
      </c>
      <c r="T41" s="23">
        <f t="shared" si="26"/>
        <v>4161823.0643579094</v>
      </c>
      <c r="U41" s="23">
        <f t="shared" si="26"/>
        <v>3798770.4140628576</v>
      </c>
      <c r="V41" s="23">
        <f t="shared" si="26"/>
        <v>3381900.1955832867</v>
      </c>
      <c r="W41" s="23">
        <f t="shared" si="26"/>
        <v>3444947.4775948608</v>
      </c>
      <c r="X41" s="23">
        <f t="shared" si="26"/>
        <v>4334143.8926683776</v>
      </c>
      <c r="Y41" s="23">
        <f t="shared" si="26"/>
        <v>5224478.7736267354</v>
      </c>
      <c r="Z41" s="23">
        <f t="shared" si="26"/>
        <v>5587047.1735301204</v>
      </c>
      <c r="AA41" s="23">
        <f t="shared" si="26"/>
        <v>5373938.2194544887</v>
      </c>
      <c r="AB41" s="23">
        <f t="shared" si="26"/>
        <v>4836741.4187064376</v>
      </c>
      <c r="AE41" s="23">
        <f t="shared" ref="AE41:AP41" si="27">+AE21*60</f>
        <v>5476912.4236181248</v>
      </c>
      <c r="AF41" s="23">
        <f t="shared" si="27"/>
        <v>7279630.9903494325</v>
      </c>
      <c r="AG41" s="23">
        <f t="shared" si="27"/>
        <v>6613669.9648527615</v>
      </c>
      <c r="AH41" s="23">
        <f t="shared" si="27"/>
        <v>4571696.2241269881</v>
      </c>
      <c r="AI41" s="23">
        <f t="shared" si="27"/>
        <v>4136992.7632968398</v>
      </c>
      <c r="AJ41" s="23">
        <f t="shared" si="27"/>
        <v>4338477.9136820678</v>
      </c>
      <c r="AK41" s="23">
        <f t="shared" si="27"/>
        <v>4758905.0871579936</v>
      </c>
      <c r="AL41" s="23">
        <f t="shared" si="27"/>
        <v>5736423.1403961098</v>
      </c>
      <c r="AM41" s="23">
        <f t="shared" si="27"/>
        <v>6377740.0569946803</v>
      </c>
      <c r="AN41" s="23">
        <f t="shared" si="27"/>
        <v>6058678.2877635881</v>
      </c>
      <c r="AO41" s="23">
        <f t="shared" si="27"/>
        <v>5408076.1318446025</v>
      </c>
      <c r="AP41" s="23">
        <f t="shared" si="27"/>
        <v>4539332.6893645171</v>
      </c>
    </row>
    <row r="42" spans="1:43" x14ac:dyDescent="0.15">
      <c r="A42" s="54" t="s">
        <v>163</v>
      </c>
      <c r="C42" s="23">
        <f>+'BS Actual &amp; Forecast'!C33</f>
        <v>679321</v>
      </c>
      <c r="D42" s="23">
        <f>+'BS Actual &amp; Forecast'!D33</f>
        <v>577422.85</v>
      </c>
      <c r="E42" s="23">
        <f>+'BS Actual &amp; Forecast'!E33</f>
        <v>560100.16449999996</v>
      </c>
      <c r="F42" s="23">
        <f>+'BS Actual &amp; Forecast'!F33</f>
        <v>672120.19739999995</v>
      </c>
      <c r="G42" s="23">
        <f>+'BS Actual &amp; Forecast'!G33</f>
        <v>604908.17765999993</v>
      </c>
      <c r="H42" s="23">
        <f>+'BS Actual &amp; Forecast'!H33</f>
        <v>623055.42298979999</v>
      </c>
      <c r="I42" s="23">
        <f>+'BS Actual &amp; Forecast'!I33</f>
        <v>685360.96528878005</v>
      </c>
      <c r="J42" s="23">
        <f>+'BS Actual &amp; Forecast'!J33</f>
        <v>705921.79424744344</v>
      </c>
      <c r="K42" s="23">
        <f>+'BS Actual &amp; Forecast'!K33</f>
        <v>649448.05070764804</v>
      </c>
      <c r="L42" s="23">
        <f>+'BS Actual &amp; Forecast'!L33</f>
        <v>636459.08969349507</v>
      </c>
      <c r="M42" s="23">
        <f>+'BS Actual &amp; Forecast'!M33</f>
        <v>700104.99866284465</v>
      </c>
      <c r="N42" s="23">
        <f>+'BS Actual &amp; Forecast'!N33</f>
        <v>721108.14862273005</v>
      </c>
      <c r="P42" s="41"/>
      <c r="Q42" s="23">
        <f>+'BS Actual &amp; Forecast'!Q33</f>
        <v>742741.39308141195</v>
      </c>
      <c r="R42" s="23">
        <f>+'BS Actual &amp; Forecast'!R33</f>
        <v>817015.53238955326</v>
      </c>
      <c r="S42" s="23">
        <f>+'BS Actual &amp; Forecast'!S33</f>
        <v>841525.99836123991</v>
      </c>
      <c r="T42" s="23">
        <f>+'BS Actual &amp; Forecast'!T33</f>
        <v>774203.91849234072</v>
      </c>
      <c r="U42" s="23">
        <f>+'BS Actual &amp; Forecast'!U33</f>
        <v>758719.84012249392</v>
      </c>
      <c r="V42" s="23">
        <f>+'BS Actual &amp; Forecast'!V33</f>
        <v>720783.84811636922</v>
      </c>
      <c r="W42" s="23">
        <f>+W40*W41</f>
        <v>620090.54596707493</v>
      </c>
      <c r="X42" s="23">
        <f t="shared" ref="X42:AB42" si="28">+X40*X41</f>
        <v>780145.900680308</v>
      </c>
      <c r="Y42" s="23">
        <f t="shared" si="28"/>
        <v>940406.17925281229</v>
      </c>
      <c r="Z42" s="23">
        <f t="shared" si="28"/>
        <v>1005668.4912354216</v>
      </c>
      <c r="AA42" s="23">
        <f t="shared" si="28"/>
        <v>967308.87950180797</v>
      </c>
      <c r="AB42" s="23">
        <f t="shared" si="28"/>
        <v>870613.45536715875</v>
      </c>
      <c r="AE42" s="23">
        <f t="shared" ref="AE42:AP42" si="29">+AE40*AE41</f>
        <v>985844.23625126248</v>
      </c>
      <c r="AF42" s="23">
        <f t="shared" si="29"/>
        <v>1310333.5782628979</v>
      </c>
      <c r="AG42" s="23">
        <f t="shared" si="29"/>
        <v>1190460.593673497</v>
      </c>
      <c r="AH42" s="23">
        <f t="shared" si="29"/>
        <v>822905.32034285786</v>
      </c>
      <c r="AI42" s="23">
        <f t="shared" si="29"/>
        <v>744658.6973934311</v>
      </c>
      <c r="AJ42" s="23">
        <f t="shared" si="29"/>
        <v>780926.02446277218</v>
      </c>
      <c r="AK42" s="23">
        <f t="shared" si="29"/>
        <v>856602.91568843881</v>
      </c>
      <c r="AL42" s="23">
        <f t="shared" si="29"/>
        <v>1032556.1652712998</v>
      </c>
      <c r="AM42" s="23">
        <f t="shared" si="29"/>
        <v>1147993.2102590424</v>
      </c>
      <c r="AN42" s="23">
        <f t="shared" si="29"/>
        <v>1090562.0917974459</v>
      </c>
      <c r="AO42" s="23">
        <f t="shared" si="29"/>
        <v>973453.70373202837</v>
      </c>
      <c r="AP42" s="23">
        <f t="shared" si="29"/>
        <v>817079.88408561307</v>
      </c>
    </row>
    <row r="43" spans="1:43" x14ac:dyDescent="0.15">
      <c r="P43" s="41"/>
    </row>
    <row r="44" spans="1:43" x14ac:dyDescent="0.15">
      <c r="A44" s="96" t="s">
        <v>164</v>
      </c>
      <c r="B44" s="90"/>
      <c r="C44" s="101">
        <f>+C45/C42</f>
        <v>0.30785740467319572</v>
      </c>
      <c r="D44" s="101">
        <f t="shared" ref="D44:N44" si="30">+D45/D42</f>
        <v>0.23</v>
      </c>
      <c r="E44" s="101">
        <f t="shared" si="30"/>
        <v>0.28999999999999998</v>
      </c>
      <c r="F44" s="101">
        <f t="shared" si="30"/>
        <v>0.37</v>
      </c>
      <c r="G44" s="101">
        <f t="shared" si="30"/>
        <v>0.32</v>
      </c>
      <c r="H44" s="101">
        <f t="shared" si="30"/>
        <v>0.38</v>
      </c>
      <c r="I44" s="101">
        <f t="shared" si="30"/>
        <v>0.32</v>
      </c>
      <c r="J44" s="101">
        <f t="shared" si="30"/>
        <v>0.23000000000000004</v>
      </c>
      <c r="K44" s="101">
        <f t="shared" si="30"/>
        <v>0.22000000000000003</v>
      </c>
      <c r="L44" s="101">
        <f t="shared" si="30"/>
        <v>0.34</v>
      </c>
      <c r="M44" s="101">
        <f t="shared" si="30"/>
        <v>0.31</v>
      </c>
      <c r="N44" s="101">
        <f t="shared" si="30"/>
        <v>0.34</v>
      </c>
      <c r="O44" s="90"/>
      <c r="P44" s="41"/>
      <c r="Q44" s="101">
        <f t="shared" ref="Q44:V44" si="31">+Q45/Q42</f>
        <v>0.28000000000000003</v>
      </c>
      <c r="R44" s="101">
        <f t="shared" si="31"/>
        <v>0.39</v>
      </c>
      <c r="S44" s="101">
        <f t="shared" si="31"/>
        <v>0.4</v>
      </c>
      <c r="T44" s="101">
        <f t="shared" si="31"/>
        <v>0.33</v>
      </c>
      <c r="U44" s="101">
        <f t="shared" si="31"/>
        <v>0.33</v>
      </c>
      <c r="V44" s="101">
        <f t="shared" si="31"/>
        <v>0.31</v>
      </c>
      <c r="W44" s="101">
        <v>0.32</v>
      </c>
      <c r="X44" s="101">
        <v>0.32</v>
      </c>
      <c r="Y44" s="101">
        <v>0.32</v>
      </c>
      <c r="Z44" s="101">
        <v>0.32</v>
      </c>
      <c r="AA44" s="101">
        <v>0.32</v>
      </c>
      <c r="AB44" s="101">
        <v>0.32</v>
      </c>
      <c r="AC44" s="90"/>
      <c r="AE44" s="101">
        <v>0.32</v>
      </c>
      <c r="AF44" s="101">
        <v>0.32</v>
      </c>
      <c r="AG44" s="101">
        <v>0.32</v>
      </c>
      <c r="AH44" s="101">
        <v>0.32</v>
      </c>
      <c r="AI44" s="101">
        <v>0.32</v>
      </c>
      <c r="AJ44" s="101">
        <v>0.32</v>
      </c>
      <c r="AK44" s="101">
        <v>0.32</v>
      </c>
      <c r="AL44" s="101">
        <v>0.32</v>
      </c>
      <c r="AM44" s="101">
        <v>0.32</v>
      </c>
      <c r="AN44" s="101">
        <v>0.32</v>
      </c>
      <c r="AO44" s="101">
        <v>0.32</v>
      </c>
      <c r="AP44" s="101">
        <v>0.32</v>
      </c>
      <c r="AQ44" s="90"/>
    </row>
    <row r="45" spans="1:43" x14ac:dyDescent="0.15">
      <c r="A45" s="54" t="s">
        <v>169</v>
      </c>
      <c r="C45" s="23">
        <f>+'BS Actual &amp; Forecast'!C13</f>
        <v>209134</v>
      </c>
      <c r="D45" s="23">
        <f>+'BS Actual &amp; Forecast'!D13</f>
        <v>132807.2555</v>
      </c>
      <c r="E45" s="23">
        <f>+'BS Actual &amp; Forecast'!E13</f>
        <v>162429.04770499998</v>
      </c>
      <c r="F45" s="23">
        <f>+'BS Actual &amp; Forecast'!F13</f>
        <v>248684.47303799997</v>
      </c>
      <c r="G45" s="23">
        <f>+'BS Actual &amp; Forecast'!G13</f>
        <v>193570.61685119997</v>
      </c>
      <c r="H45" s="23">
        <f>+'BS Actual &amp; Forecast'!H13</f>
        <v>236761.060736124</v>
      </c>
      <c r="I45" s="23">
        <f>+'BS Actual &amp; Forecast'!I13</f>
        <v>219315.50889240962</v>
      </c>
      <c r="J45" s="23">
        <f>+'BS Actual &amp; Forecast'!J13</f>
        <v>162362.01267691201</v>
      </c>
      <c r="K45" s="23">
        <f>+'BS Actual &amp; Forecast'!K13</f>
        <v>142878.57115568258</v>
      </c>
      <c r="L45" s="23">
        <f>+'BS Actual &amp; Forecast'!L13</f>
        <v>216396.09049578835</v>
      </c>
      <c r="M45" s="23">
        <f>+'BS Actual &amp; Forecast'!M13</f>
        <v>217032.54958548184</v>
      </c>
      <c r="N45" s="23">
        <f>+'BS Actual &amp; Forecast'!N13</f>
        <v>245176.77053172822</v>
      </c>
      <c r="P45" s="41"/>
      <c r="Q45" s="23">
        <f>+'BS Actual &amp; Forecast'!Q13</f>
        <v>207967.59006279535</v>
      </c>
      <c r="R45" s="23">
        <f>+'BS Actual &amp; Forecast'!R13</f>
        <v>318636.0576319258</v>
      </c>
      <c r="S45" s="23">
        <f>+'BS Actual &amp; Forecast'!S13</f>
        <v>336610.39934449596</v>
      </c>
      <c r="T45" s="23">
        <f>+'BS Actual &amp; Forecast'!T13</f>
        <v>255487.29310247244</v>
      </c>
      <c r="U45" s="23">
        <f>+'BS Actual &amp; Forecast'!U13</f>
        <v>250377.54724042301</v>
      </c>
      <c r="V45" s="23">
        <f>+'BS Actual &amp; Forecast'!V13</f>
        <v>223442.99291607447</v>
      </c>
      <c r="W45" s="23">
        <f>+W42*W44</f>
        <v>198428.97470946398</v>
      </c>
      <c r="X45" s="23">
        <f t="shared" ref="X45:AB45" si="32">+X42*X44</f>
        <v>249646.68821769857</v>
      </c>
      <c r="Y45" s="23">
        <f t="shared" si="32"/>
        <v>300929.97736089997</v>
      </c>
      <c r="Z45" s="23">
        <f t="shared" si="32"/>
        <v>321813.91719533491</v>
      </c>
      <c r="AA45" s="23">
        <f t="shared" si="32"/>
        <v>309538.84144057857</v>
      </c>
      <c r="AB45" s="23">
        <f t="shared" si="32"/>
        <v>278596.30571749079</v>
      </c>
      <c r="AE45" s="23">
        <f t="shared" ref="AE45:AP45" si="33">+AE42*AE44</f>
        <v>315470.15560040402</v>
      </c>
      <c r="AF45" s="23">
        <f t="shared" si="33"/>
        <v>419306.74504412734</v>
      </c>
      <c r="AG45" s="23">
        <f t="shared" si="33"/>
        <v>380947.38997551904</v>
      </c>
      <c r="AH45" s="23">
        <f t="shared" si="33"/>
        <v>263329.70250971452</v>
      </c>
      <c r="AI45" s="23">
        <f t="shared" si="33"/>
        <v>238290.78316589794</v>
      </c>
      <c r="AJ45" s="23">
        <f t="shared" si="33"/>
        <v>249896.32782808712</v>
      </c>
      <c r="AK45" s="23">
        <f t="shared" si="33"/>
        <v>274112.93302030041</v>
      </c>
      <c r="AL45" s="23">
        <f t="shared" si="33"/>
        <v>330417.97288681596</v>
      </c>
      <c r="AM45" s="23">
        <f t="shared" si="33"/>
        <v>367357.82728289359</v>
      </c>
      <c r="AN45" s="23">
        <f t="shared" si="33"/>
        <v>348979.86937518272</v>
      </c>
      <c r="AO45" s="23">
        <f t="shared" si="33"/>
        <v>311505.18519424909</v>
      </c>
      <c r="AP45" s="23">
        <f t="shared" si="33"/>
        <v>261465.56290739618</v>
      </c>
    </row>
    <row r="46" spans="1:43" x14ac:dyDescent="0.15">
      <c r="P46" s="41"/>
    </row>
    <row r="47" spans="1:43" x14ac:dyDescent="0.15">
      <c r="A47" s="29" t="s">
        <v>105</v>
      </c>
      <c r="C47" s="31">
        <f>+'BS Actuals'!C10</f>
        <v>1143470.5249999999</v>
      </c>
      <c r="D47" s="31">
        <f>+'BS Actuals'!D10</f>
        <v>1340164.5615462058</v>
      </c>
      <c r="E47" s="31">
        <f>+'BS Actuals'!E10</f>
        <v>1381504.0121351893</v>
      </c>
      <c r="F47" s="31">
        <f>+'BS Actuals'!F10</f>
        <v>1024988.879509558</v>
      </c>
      <c r="G47" s="31">
        <f>+'BS Actuals'!G10</f>
        <v>1234820.0419533211</v>
      </c>
      <c r="H47" s="31">
        <f>+'BS Actuals'!H10</f>
        <v>1445426.0000354236</v>
      </c>
      <c r="I47" s="31">
        <f>+'BS Actuals'!I10</f>
        <v>1515778.7802452419</v>
      </c>
      <c r="J47" s="31">
        <f>+'BS Actuals'!J10</f>
        <v>2053094.8316713092</v>
      </c>
      <c r="K47" s="31">
        <f>+'BS Actuals'!K10</f>
        <v>1763674.1533960719</v>
      </c>
      <c r="L47" s="31">
        <f>+'BS Actuals'!L10</f>
        <v>1470733.9138978163</v>
      </c>
      <c r="M47" s="31">
        <f>+'BS Actuals'!M10</f>
        <v>1439566.2431089126</v>
      </c>
      <c r="N47" s="31">
        <f>+'BS Actuals'!N10</f>
        <v>826312.63223657687</v>
      </c>
      <c r="P47" s="41"/>
      <c r="Q47" s="31">
        <f>+'BS Actuals'!Q10</f>
        <v>975031.52508366399</v>
      </c>
      <c r="R47" s="31">
        <f>+'BS Actuals'!R10</f>
        <v>1323411.724154375</v>
      </c>
      <c r="S47" s="31">
        <f>+'BS Actuals'!S10</f>
        <v>1523479.6571072412</v>
      </c>
      <c r="T47" s="31">
        <f>+'BS Actuals'!T10</f>
        <v>1335275.4985574265</v>
      </c>
      <c r="U47" s="31">
        <f>+'BS Actuals'!U10</f>
        <v>1176083.0876323741</v>
      </c>
      <c r="V47" s="31">
        <f>+'BS Actuals'!V10</f>
        <v>1051408.8432631069</v>
      </c>
      <c r="W47" s="31">
        <f>+'BS Actual &amp; Forecast'!W10</f>
        <v>1254187.6961169946</v>
      </c>
      <c r="X47" s="31">
        <f>+'BS Actual &amp; Forecast'!X10</f>
        <v>1165844.3756070908</v>
      </c>
      <c r="Y47" s="31">
        <f>+'BS Actual &amp; Forecast'!Y10</f>
        <v>1133264.3356445113</v>
      </c>
      <c r="Z47" s="31">
        <f>+'BS Actual &amp; Forecast'!Z10</f>
        <v>560804.4638041337</v>
      </c>
      <c r="AA47" s="31">
        <f>+'BS Actual &amp; Forecast'!AA10</f>
        <v>813696.84187758435</v>
      </c>
      <c r="AB47" s="31">
        <f>+'BS Actual &amp; Forecast'!AB10</f>
        <v>731684.65382054681</v>
      </c>
      <c r="AE47" s="31">
        <f>+'BS Actual &amp; Forecast'!AE10</f>
        <v>376231.20845885004</v>
      </c>
      <c r="AF47" s="31">
        <f>+'BS Actual &amp; Forecast'!AF10</f>
        <v>756785.42740221124</v>
      </c>
      <c r="AG47" s="31">
        <f>+'BS Actual &amp; Forecast'!AG10</f>
        <v>1626351.0324124354</v>
      </c>
      <c r="AH47" s="31">
        <f>+'BS Actual &amp; Forecast'!AH10</f>
        <v>2327430.6976593062</v>
      </c>
      <c r="AI47" s="31">
        <f>+'BS Actual &amp; Forecast'!AI10</f>
        <v>2536303.172520258</v>
      </c>
      <c r="AJ47" s="31">
        <f>+'BS Actual &amp; Forecast'!AJ10</f>
        <v>2478824.0238812566</v>
      </c>
      <c r="AK47" s="31">
        <f>+'BS Actual &amp; Forecast'!AK10</f>
        <v>2248155.3767422223</v>
      </c>
      <c r="AL47" s="31">
        <f>+'BS Actual &amp; Forecast'!AL10</f>
        <v>1956227.8048164956</v>
      </c>
      <c r="AM47" s="31">
        <f>+'BS Actual &amp; Forecast'!AM10</f>
        <v>1710970.1990402774</v>
      </c>
      <c r="AN47" s="31">
        <f>+'BS Actual &amp; Forecast'!AN10</f>
        <v>1738996.2862710957</v>
      </c>
      <c r="AO47" s="31">
        <f>+'BS Actual &amp; Forecast'!AO10</f>
        <v>1812723.9630548502</v>
      </c>
      <c r="AP47" s="31">
        <f>+'BS Actual &amp; Forecast'!AP10</f>
        <v>1367252.4353387253</v>
      </c>
    </row>
    <row r="48" spans="1:43" x14ac:dyDescent="0.15">
      <c r="P48" s="41"/>
    </row>
    <row r="49" spans="16:16" x14ac:dyDescent="0.15">
      <c r="P49" s="41"/>
    </row>
    <row r="50" spans="16:16" x14ac:dyDescent="0.15">
      <c r="P50" s="41"/>
    </row>
    <row r="51" spans="16:16" x14ac:dyDescent="0.15">
      <c r="P51" s="41"/>
    </row>
  </sheetData>
  <mergeCells count="1">
    <mergeCell ref="W2:AB2"/>
  </mergeCells>
  <pageMargins left="0.75" right="0.75" top="1" bottom="1" header="0.5" footer="0.5"/>
  <pageSetup scale="79" orientation="landscape"/>
  <headerFooter alignWithMargins="0"/>
  <colBreaks count="2" manualBreakCount="2">
    <brk id="15" max="1048575" man="1"/>
    <brk id="2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AQ21"/>
  <sheetViews>
    <sheetView workbookViewId="0">
      <pane xSplit="2" ySplit="7" topLeftCell="C8" activePane="bottomRight" state="frozen"/>
      <selection activeCell="AZ28" sqref="AZ28"/>
      <selection pane="topRight" activeCell="AZ28" sqref="AZ28"/>
      <selection pane="bottomLeft" activeCell="AZ28" sqref="AZ28"/>
      <selection pane="bottomRight" activeCell="A2" sqref="A2"/>
    </sheetView>
  </sheetViews>
  <sheetFormatPr baseColWidth="10" defaultColWidth="8.83203125" defaultRowHeight="13" outlineLevelCol="1" x14ac:dyDescent="0.15"/>
  <cols>
    <col min="1" max="1" width="40.6640625" customWidth="1"/>
    <col min="2" max="2" width="4.83203125" customWidth="1"/>
    <col min="3" max="3" width="12.5" hidden="1" customWidth="1" outlineLevel="1"/>
    <col min="4" max="4" width="11.6640625" hidden="1" customWidth="1" outlineLevel="1"/>
    <col min="5" max="7" width="11.33203125" hidden="1" customWidth="1" outlineLevel="1"/>
    <col min="8" max="8" width="11.1640625" hidden="1" customWidth="1" outlineLevel="1"/>
    <col min="9" max="14" width="11.33203125" hidden="1" customWidth="1" outlineLevel="1"/>
    <col min="15" max="15" width="11.5" hidden="1" customWidth="1"/>
    <col min="16" max="16" width="2.5" hidden="1" customWidth="1"/>
    <col min="17" max="18" width="11.83203125" hidden="1" customWidth="1" outlineLevel="1"/>
    <col min="19" max="21" width="11.33203125" hidden="1" customWidth="1" outlineLevel="1"/>
    <col min="22" max="22" width="11" hidden="1" customWidth="1" outlineLevel="1"/>
    <col min="23" max="23" width="11.33203125" customWidth="1" outlineLevel="1"/>
    <col min="24" max="28" width="11.1640625" customWidth="1" outlineLevel="1"/>
    <col min="29" max="29" width="11.6640625" hidden="1" customWidth="1"/>
    <col min="30" max="30" width="2.83203125" hidden="1" customWidth="1"/>
    <col min="31" max="31" width="9.5" hidden="1" customWidth="1" outlineLevel="1"/>
    <col min="32" max="35" width="11.1640625" hidden="1" customWidth="1" outlineLevel="1"/>
    <col min="36" max="37" width="11.5" hidden="1" customWidth="1" outlineLevel="1"/>
    <col min="38" max="42" width="11.1640625" hidden="1" customWidth="1" outlineLevel="1"/>
    <col min="43" max="43" width="11.1640625" hidden="1" customWidth="1"/>
  </cols>
  <sheetData>
    <row r="1" spans="1:43" x14ac:dyDescent="0.15">
      <c r="A1" s="1" t="str">
        <f>+'IS Actual &amp; Forecast'!A1</f>
        <v>ABC Construction Company</v>
      </c>
    </row>
    <row r="2" spans="1:43" ht="20" x14ac:dyDescent="0.2">
      <c r="A2" s="2" t="s">
        <v>210</v>
      </c>
      <c r="H2" s="38" t="s">
        <v>82</v>
      </c>
      <c r="V2" s="38" t="s">
        <v>84</v>
      </c>
      <c r="AJ2" s="38" t="s">
        <v>90</v>
      </c>
    </row>
    <row r="6" spans="1:43" x14ac:dyDescent="0.15"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36"/>
      <c r="Q6" s="47" t="s">
        <v>54</v>
      </c>
      <c r="R6" s="47" t="s">
        <v>54</v>
      </c>
      <c r="S6" s="47" t="s">
        <v>54</v>
      </c>
      <c r="T6" s="47" t="s">
        <v>54</v>
      </c>
      <c r="U6" s="47" t="s">
        <v>54</v>
      </c>
      <c r="V6" s="47" t="s">
        <v>54</v>
      </c>
      <c r="W6" s="47" t="s">
        <v>99</v>
      </c>
      <c r="X6" s="47" t="s">
        <v>99</v>
      </c>
      <c r="Y6" s="47" t="s">
        <v>99</v>
      </c>
      <c r="Z6" s="47" t="s">
        <v>99</v>
      </c>
      <c r="AA6" s="47" t="s">
        <v>99</v>
      </c>
      <c r="AB6" s="47" t="s">
        <v>99</v>
      </c>
      <c r="AC6" s="47" t="s">
        <v>99</v>
      </c>
      <c r="AD6" s="36"/>
      <c r="AE6" s="47" t="s">
        <v>99</v>
      </c>
      <c r="AF6" s="47" t="s">
        <v>99</v>
      </c>
      <c r="AG6" s="47" t="s">
        <v>99</v>
      </c>
      <c r="AH6" s="47" t="s">
        <v>99</v>
      </c>
      <c r="AI6" s="47" t="s">
        <v>99</v>
      </c>
      <c r="AJ6" s="47" t="s">
        <v>99</v>
      </c>
      <c r="AK6" s="47" t="s">
        <v>99</v>
      </c>
      <c r="AL6" s="47" t="s">
        <v>99</v>
      </c>
      <c r="AM6" s="47" t="s">
        <v>99</v>
      </c>
      <c r="AN6" s="47" t="s">
        <v>99</v>
      </c>
      <c r="AO6" s="47" t="s">
        <v>99</v>
      </c>
      <c r="AP6" s="47" t="s">
        <v>99</v>
      </c>
      <c r="AQ6" s="47" t="s">
        <v>99</v>
      </c>
    </row>
    <row r="7" spans="1:43" x14ac:dyDescent="0.15"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82</v>
      </c>
      <c r="Q7" s="4" t="s">
        <v>1</v>
      </c>
      <c r="R7" s="4" t="s">
        <v>2</v>
      </c>
      <c r="S7" s="4" t="s">
        <v>3</v>
      </c>
      <c r="T7" s="4" t="s">
        <v>4</v>
      </c>
      <c r="U7" s="4" t="s">
        <v>5</v>
      </c>
      <c r="V7" s="4" t="s">
        <v>6</v>
      </c>
      <c r="W7" s="4" t="s">
        <v>7</v>
      </c>
      <c r="X7" s="4" t="s">
        <v>8</v>
      </c>
      <c r="Y7" s="4" t="s">
        <v>9</v>
      </c>
      <c r="Z7" s="4" t="s">
        <v>10</v>
      </c>
      <c r="AA7" s="4" t="s">
        <v>11</v>
      </c>
      <c r="AB7" s="4" t="s">
        <v>12</v>
      </c>
      <c r="AC7" s="94" t="s">
        <v>84</v>
      </c>
      <c r="AE7" s="4" t="s">
        <v>1</v>
      </c>
      <c r="AF7" s="4" t="s">
        <v>2</v>
      </c>
      <c r="AG7" s="4" t="s">
        <v>3</v>
      </c>
      <c r="AH7" s="4" t="s">
        <v>4</v>
      </c>
      <c r="AI7" s="4" t="s">
        <v>5</v>
      </c>
      <c r="AJ7" s="4" t="s">
        <v>6</v>
      </c>
      <c r="AK7" s="4" t="s">
        <v>7</v>
      </c>
      <c r="AL7" s="4" t="s">
        <v>8</v>
      </c>
      <c r="AM7" s="4" t="s">
        <v>9</v>
      </c>
      <c r="AN7" s="4" t="s">
        <v>10</v>
      </c>
      <c r="AO7" s="4" t="s">
        <v>11</v>
      </c>
      <c r="AP7" s="4" t="s">
        <v>12</v>
      </c>
      <c r="AQ7" s="94" t="s">
        <v>90</v>
      </c>
    </row>
    <row r="8" spans="1:43" x14ac:dyDescent="0.15"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</row>
    <row r="9" spans="1:43" x14ac:dyDescent="0.15">
      <c r="A9" t="s">
        <v>13</v>
      </c>
      <c r="C9" s="51">
        <f>+'GAAP CF Act &amp; Forecast'!C38</f>
        <v>1245444</v>
      </c>
      <c r="D9" s="51">
        <f>+'GAAP CF Act &amp; Forecast'!D38</f>
        <v>1143470.389</v>
      </c>
      <c r="E9" s="51">
        <f>+'GAAP CF Act &amp; Forecast'!E38</f>
        <v>1340164.4255462058</v>
      </c>
      <c r="F9" s="51">
        <f>+'GAAP CF Act &amp; Forecast'!F38</f>
        <v>1381503.8761351893</v>
      </c>
      <c r="G9" s="51">
        <f>+'GAAP CF Act &amp; Forecast'!G38</f>
        <v>1024988.7435095583</v>
      </c>
      <c r="H9" s="51">
        <f>+'GAAP CF Act &amp; Forecast'!H38</f>
        <v>1234819.9059533216</v>
      </c>
      <c r="I9" s="51">
        <f>+'GAAP CF Act &amp; Forecast'!I38</f>
        <v>1445425.8640354241</v>
      </c>
      <c r="J9" s="51">
        <f>+'GAAP CF Act &amp; Forecast'!J38</f>
        <v>1515778.6442452422</v>
      </c>
      <c r="K9" s="51">
        <f>+'GAAP CF Act &amp; Forecast'!K38</f>
        <v>2053094.6956713095</v>
      </c>
      <c r="L9" s="51">
        <f>+'GAAP CF Act &amp; Forecast'!L38</f>
        <v>1763674.0173960724</v>
      </c>
      <c r="M9" s="51">
        <f>+'GAAP CF Act &amp; Forecast'!M38</f>
        <v>1470733.7778978171</v>
      </c>
      <c r="N9" s="51">
        <f>+'GAAP CF Act &amp; Forecast'!N38</f>
        <v>1439566.1071089131</v>
      </c>
      <c r="O9" s="56">
        <f>+C9</f>
        <v>1245444</v>
      </c>
      <c r="Q9" s="51">
        <f>+'GAAP CF Act &amp; Forecast'!Q38</f>
        <v>826312.49623657716</v>
      </c>
      <c r="R9" s="51">
        <f>+'GAAP CF Act &amp; Forecast'!R38</f>
        <v>975031.38908365916</v>
      </c>
      <c r="S9" s="51">
        <f>+'GAAP CF Act &amp; Forecast'!S38</f>
        <v>1323411.58815437</v>
      </c>
      <c r="T9" s="51">
        <f>+'GAAP CF Act &amp; Forecast'!T38</f>
        <v>1523479.5211072359</v>
      </c>
      <c r="U9" s="51">
        <f>+'GAAP CF Act &amp; Forecast'!U38</f>
        <v>1335275.362557421</v>
      </c>
      <c r="V9" s="51">
        <f>+'GAAP CF Act &amp; Forecast'!V38</f>
        <v>1176082.9516323688</v>
      </c>
      <c r="W9" s="51">
        <f>+'GAAP CF Act &amp; Forecast'!W38</f>
        <v>1051408.7072631014</v>
      </c>
      <c r="X9" s="51">
        <f>+'GAAP CF Act &amp; Forecast'!X38</f>
        <v>1254187.5601169891</v>
      </c>
      <c r="Y9" s="51">
        <f>+'GAAP CF Act &amp; Forecast'!Y38</f>
        <v>1165844.2396070855</v>
      </c>
      <c r="Z9" s="51">
        <f>+'GAAP CF Act &amp; Forecast'!Z38</f>
        <v>1133264.199644506</v>
      </c>
      <c r="AA9" s="51">
        <f>+'GAAP CF Act &amp; Forecast'!AA38</f>
        <v>560804.32780412817</v>
      </c>
      <c r="AB9" s="51">
        <f>+'GAAP CF Act &amp; Forecast'!AB38</f>
        <v>813696.70587757882</v>
      </c>
      <c r="AC9" s="56">
        <f>+Q9</f>
        <v>826312.49623657716</v>
      </c>
      <c r="AE9" s="51">
        <f>+'GAAP CF Act &amp; Forecast'!AE38</f>
        <v>731684.51782054093</v>
      </c>
      <c r="AF9" s="51">
        <f>+'GAAP CF Act &amp; Forecast'!AF38</f>
        <v>376231.0724588437</v>
      </c>
      <c r="AG9" s="51">
        <f>+'GAAP CF Act &amp; Forecast'!AG38</f>
        <v>756785.29140220606</v>
      </c>
      <c r="AH9" s="51">
        <f>+'GAAP CF Act &amp; Forecast'!AH38</f>
        <v>1626350.8964124303</v>
      </c>
      <c r="AI9" s="51">
        <f>+'GAAP CF Act &amp; Forecast'!AI38</f>
        <v>2327430.5616593016</v>
      </c>
      <c r="AJ9" s="51">
        <f>+'GAAP CF Act &amp; Forecast'!AJ38</f>
        <v>2536303.0365202539</v>
      </c>
      <c r="AK9" s="51">
        <f>+'GAAP CF Act &amp; Forecast'!AK38</f>
        <v>2478823.8878812534</v>
      </c>
      <c r="AL9" s="51">
        <f>+'GAAP CF Act &amp; Forecast'!AL38</f>
        <v>2248155.2407422196</v>
      </c>
      <c r="AM9" s="51">
        <f>+'GAAP CF Act &amp; Forecast'!AM38</f>
        <v>1956227.6688164934</v>
      </c>
      <c r="AN9" s="51">
        <f>+'GAAP CF Act &amp; Forecast'!AN38</f>
        <v>1710970.0630402744</v>
      </c>
      <c r="AO9" s="51">
        <f>+'GAAP CF Act &amp; Forecast'!AO38</f>
        <v>1738996.1502710928</v>
      </c>
      <c r="AP9" s="51">
        <f>+'GAAP CF Act &amp; Forecast'!AP38</f>
        <v>1812723.8270548475</v>
      </c>
      <c r="AQ9" s="56">
        <f>+AE9</f>
        <v>731684.51782054093</v>
      </c>
    </row>
    <row r="10" spans="1:43" x14ac:dyDescent="0.15"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</row>
    <row r="11" spans="1:43" x14ac:dyDescent="0.15">
      <c r="A11" s="54" t="s">
        <v>183</v>
      </c>
      <c r="C11" s="23">
        <f>+'GAAP CF Act &amp; Forecast'!C9</f>
        <v>112718.38900000005</v>
      </c>
      <c r="D11" s="23">
        <f>+'GAAP CF Act &amp; Forecast'!D9</f>
        <v>174849.99420000016</v>
      </c>
      <c r="E11" s="23">
        <f>+'GAAP CF Act &amp; Forecast'!E9</f>
        <v>129872.47371085733</v>
      </c>
      <c r="F11" s="23">
        <f>+'GAAP CF Act &amp; Forecast'!F9</f>
        <v>65884.611169058568</v>
      </c>
      <c r="G11" s="23">
        <f>+'GAAP CF Act &amp; Forecast'!G9</f>
        <v>107686.05107013127</v>
      </c>
      <c r="H11" s="23">
        <f>+'GAAP CF Act &amp; Forecast'!H9</f>
        <v>167715.50164606649</v>
      </c>
      <c r="I11" s="23">
        <f>+'GAAP CF Act &amp; Forecast'!I9</f>
        <v>174792.14306393373</v>
      </c>
      <c r="J11" s="23">
        <f>+'GAAP CF Act &amp; Forecast'!J9</f>
        <v>182771.09773868279</v>
      </c>
      <c r="K11" s="23">
        <f>+'GAAP CF Act &amp; Forecast'!K9</f>
        <v>145053.73950084602</v>
      </c>
      <c r="L11" s="23">
        <f>+'GAAP CF Act &amp; Forecast'!L9</f>
        <v>60503.635878823996</v>
      </c>
      <c r="M11" s="23">
        <f>+'GAAP CF Act &amp; Forecast'!M9</f>
        <v>110938.43898937415</v>
      </c>
      <c r="N11" s="23">
        <f>+'GAAP CF Act &amp; Forecast'!N9</f>
        <v>64675.888342249709</v>
      </c>
      <c r="O11" s="23">
        <f>SUM(C11:N11)</f>
        <v>1497461.9643100242</v>
      </c>
      <c r="Q11" s="23">
        <f>+'GAAP CF Act &amp; Forecast'!Q9</f>
        <v>125792.02647521088</v>
      </c>
      <c r="R11" s="23">
        <f>+'GAAP CF Act &amp; Forecast'!R9</f>
        <v>237266.60261000015</v>
      </c>
      <c r="S11" s="23">
        <f>+'GAAP CF Act &amp; Forecast'!S9</f>
        <v>161140.48813239767</v>
      </c>
      <c r="T11" s="23">
        <f>+'GAAP CF Act &amp; Forecast'!T9</f>
        <v>67797.717478498816</v>
      </c>
      <c r="U11" s="23">
        <f>+'GAAP CF Act &amp; Forecast'!U9</f>
        <v>77122.465164527268</v>
      </c>
      <c r="V11" s="23">
        <f>+'GAAP CF Act &amp; Forecast'!V9</f>
        <v>41165.317365626812</v>
      </c>
      <c r="W11" s="23">
        <f>+'GAAP CF Act &amp; Forecast'!W9</f>
        <v>97204.81770344649</v>
      </c>
      <c r="X11" s="23">
        <f>+'GAAP CF Act &amp; Forecast'!X9</f>
        <v>171818.13780016906</v>
      </c>
      <c r="Y11" s="23">
        <f>+'GAAP CF Act &amp; Forecast'!Y9</f>
        <v>227962.06306323354</v>
      </c>
      <c r="Z11" s="23">
        <f>+'GAAP CF Act &amp; Forecast'!Z9</f>
        <v>195551.16125062638</v>
      </c>
      <c r="AA11" s="23">
        <f>+'GAAP CF Act &amp; Forecast'!AA9</f>
        <v>167234.01682226424</v>
      </c>
      <c r="AB11" s="23">
        <f>+'GAAP CF Act &amp; Forecast'!AB9</f>
        <v>117461.4469193916</v>
      </c>
      <c r="AC11" s="23">
        <f>SUM(Q11:AB11)</f>
        <v>1687516.2607853932</v>
      </c>
      <c r="AE11" s="23">
        <f>+'GAAP CF Act &amp; Forecast'!AE9</f>
        <v>252739.75504584351</v>
      </c>
      <c r="AF11" s="23">
        <f>+'GAAP CF Act &amp; Forecast'!AF9</f>
        <v>367474.97207182692</v>
      </c>
      <c r="AG11" s="23">
        <f>+'GAAP CF Act &amp; Forecast'!AG9</f>
        <v>182000.0086267603</v>
      </c>
      <c r="AH11" s="23">
        <f>+'GAAP CF Act &amp; Forecast'!AH9</f>
        <v>104878.61642240657</v>
      </c>
      <c r="AI11" s="23">
        <f>+'GAAP CF Act &amp; Forecast'!AI9</f>
        <v>120177.37566109208</v>
      </c>
      <c r="AJ11" s="23">
        <f>+'GAAP CF Act &amp; Forecast'!AJ9</f>
        <v>132181.38763106024</v>
      </c>
      <c r="AK11" s="23">
        <f>+'GAAP CF Act &amp; Forecast'!AK9</f>
        <v>184154.93487296515</v>
      </c>
      <c r="AL11" s="23">
        <f>+'GAAP CF Act &amp; Forecast'!AL9</f>
        <v>280095.53656407085</v>
      </c>
      <c r="AM11" s="23">
        <f>+'GAAP CF Act &amp; Forecast'!AM9</f>
        <v>281838.02449152718</v>
      </c>
      <c r="AN11" s="23">
        <f>+'GAAP CF Act &amp; Forecast'!AN9</f>
        <v>233716.47057947097</v>
      </c>
      <c r="AO11" s="23">
        <f>+'GAAP CF Act &amp; Forecast'!AO9</f>
        <v>185722.49424774354</v>
      </c>
      <c r="AP11" s="23">
        <f>+'GAAP CF Act &amp; Forecast'!AP9</f>
        <v>104874.28703296333</v>
      </c>
      <c r="AQ11" s="23">
        <f>SUM(AE11:AP11)</f>
        <v>2429853.8632477303</v>
      </c>
    </row>
    <row r="12" spans="1:43" x14ac:dyDescent="0.15">
      <c r="A12" t="s">
        <v>59</v>
      </c>
      <c r="C12" s="23">
        <f>+'GAAP CF Act &amp; Forecast'!C13</f>
        <v>-15679</v>
      </c>
      <c r="D12" s="23">
        <f>+'GAAP CF Act &amp; Forecast'!D13</f>
        <v>21375.816000000108</v>
      </c>
      <c r="E12" s="23">
        <f>+'GAAP CF Act &amp; Forecast'!E13</f>
        <v>-43606.66464000009</v>
      </c>
      <c r="F12" s="23">
        <f>+'GAAP CF Act &amp; Forecast'!F13</f>
        <v>51831.297172800172</v>
      </c>
      <c r="G12" s="23">
        <f>+'GAAP CF Act &amp; Forecast'!G13</f>
        <v>39743.114152896218</v>
      </c>
      <c r="H12" s="23">
        <f>+'GAAP CF Act &amp; Forecast'!H13</f>
        <v>-43717.425568185747</v>
      </c>
      <c r="I12" s="23">
        <f>+'GAAP CF Act &amp; Forecast'!I13</f>
        <v>62297.331434664316</v>
      </c>
      <c r="J12" s="23">
        <f>+'GAAP CF Act &amp; Forecast'!J13</f>
        <v>-74414.010000000242</v>
      </c>
      <c r="K12" s="23">
        <f>+'GAAP CF Act &amp; Forecast'!K13</f>
        <v>-42985.158689918462</v>
      </c>
      <c r="L12" s="23">
        <f>+'GAAP CF Act &amp; Forecast'!L13</f>
        <v>-37826.93964712834</v>
      </c>
      <c r="M12" s="23">
        <f>+'GAAP CF Act &amp; Forecast'!M13</f>
        <v>53903.38899715757</v>
      </c>
      <c r="N12" s="23">
        <f>+'GAAP CF Act &amp; Forecast'!N13</f>
        <v>44598.558447015472</v>
      </c>
      <c r="O12" s="35">
        <f t="shared" ref="O12:O16" si="0">SUM(C12:N12)</f>
        <v>15520.307659300976</v>
      </c>
      <c r="Q12" s="23">
        <f>+'GAAP CF Act &amp; Forecast'!Q13</f>
        <v>64166.251377704553</v>
      </c>
      <c r="R12" s="23">
        <f>+'GAAP CF Act &amp; Forecast'!R13</f>
        <v>-76646.430300000124</v>
      </c>
      <c r="S12" s="23">
        <f>+'GAAP CF Act &amp; Forecast'!S13</f>
        <v>-44274.713450616226</v>
      </c>
      <c r="T12" s="23">
        <f>+'GAAP CF Act &amp; Forecast'!T13</f>
        <v>-38961.747836542316</v>
      </c>
      <c r="U12" s="23">
        <f>+'GAAP CF Act &amp; Forecast'!U13</f>
        <v>55520.49066707259</v>
      </c>
      <c r="V12" s="23">
        <f>+'GAAP CF Act &amp; Forecast'!V13</f>
        <v>245936.82665246399</v>
      </c>
      <c r="W12" s="23">
        <f>+'GAAP CF Act &amp; Forecast'!W13</f>
        <v>240411.98962096637</v>
      </c>
      <c r="X12" s="23">
        <f>+'GAAP CF Act &amp; Forecast'!X13</f>
        <v>-637257.43080268707</v>
      </c>
      <c r="Y12" s="23">
        <f>+'GAAP CF Act &amp; Forecast'!Y13</f>
        <v>-638073.33135348978</v>
      </c>
      <c r="Z12" s="23">
        <f>+'GAAP CF Act &amp; Forecast'!Z13</f>
        <v>-911662.85684260633</v>
      </c>
      <c r="AA12" s="23">
        <f>+'GAAP CF Act &amp; Forecast'!AA13</f>
        <v>177590.79506302625</v>
      </c>
      <c r="AB12" s="23">
        <f>+'GAAP CF Act &amp; Forecast'!AB13</f>
        <v>44602.215731172822</v>
      </c>
      <c r="AC12" s="43">
        <f t="shared" ref="AC12:AC16" si="1">SUM(Q12:AB12)</f>
        <v>-1518647.9414735353</v>
      </c>
      <c r="AE12" s="23">
        <f>+'GAAP CF Act &amp; Forecast'!AE13</f>
        <v>-130414.05253420305</v>
      </c>
      <c r="AF12" s="23">
        <f>+'GAAP CF Act &amp; Forecast'!AF13</f>
        <v>-1502265.4722760897</v>
      </c>
      <c r="AG12" s="23">
        <f>+'GAAP CF Act &amp; Forecast'!AG13</f>
        <v>1106106.6849849559</v>
      </c>
      <c r="AH12" s="23">
        <f>+'GAAP CF Act &amp; Forecast'!AH13</f>
        <v>1607675.242613113</v>
      </c>
      <c r="AI12" s="23">
        <f>+'GAAP CF Act &amp; Forecast'!AI13</f>
        <v>387732.41733038938</v>
      </c>
      <c r="AJ12" s="23">
        <f>+'GAAP CF Act &amp; Forecast'!AJ13</f>
        <v>-144397.69110941328</v>
      </c>
      <c r="AK12" s="23">
        <f>+'GAAP CF Act &amp; Forecast'!AK13</f>
        <v>-301306.14099108055</v>
      </c>
      <c r="AL12" s="23">
        <f>+'GAAP CF Act &amp; Forecast'!AL13</f>
        <v>-700554.60482064961</v>
      </c>
      <c r="AM12" s="23">
        <f>+'GAAP CF Act &amp; Forecast'!AM13</f>
        <v>-459610.45689564245</v>
      </c>
      <c r="AN12" s="23">
        <f>+'GAAP CF Act &amp; Forecast'!AN13</f>
        <v>228660.93461561669</v>
      </c>
      <c r="AO12" s="23">
        <f>+'GAAP CF Act &amp; Forecast'!AO13</f>
        <v>466264.87840860616</v>
      </c>
      <c r="AP12" s="23">
        <f>+'GAAP CF Act &amp; Forecast'!AP13</f>
        <v>622599.46711072791</v>
      </c>
      <c r="AQ12" s="35">
        <f t="shared" ref="AQ12:AQ16" si="2">SUM(AE12:AP12)</f>
        <v>1180491.2064363305</v>
      </c>
    </row>
    <row r="13" spans="1:43" x14ac:dyDescent="0.15">
      <c r="A13" t="s">
        <v>103</v>
      </c>
      <c r="C13" s="23">
        <f>+'GAAP CF Act &amp; Forecast'!C17</f>
        <v>-18902</v>
      </c>
      <c r="D13" s="23">
        <f>+'GAAP CF Act &amp; Forecast'!D17</f>
        <v>129477.56565420562</v>
      </c>
      <c r="E13" s="23">
        <f>+'GAAP CF Act &amp; Forecast'!E17</f>
        <v>64978.847614486236</v>
      </c>
      <c r="F13" s="23">
        <f>+'GAAP CF Act &amp; Forecast'!F17</f>
        <v>-370792.07037153607</v>
      </c>
      <c r="G13" s="23">
        <f>+'GAAP CF Act &amp; Forecast'!G17</f>
        <v>196277.57846143865</v>
      </c>
      <c r="H13" s="23">
        <f>+'GAAP CF Act &amp; Forecast'!H17</f>
        <v>159366.00823093345</v>
      </c>
      <c r="I13" s="23">
        <f>+'GAAP CF Act &amp; Forecast'!I17</f>
        <v>-110006.81401496404</v>
      </c>
      <c r="J13" s="23">
        <f>+'GAAP CF Act &amp; Forecast'!J17</f>
        <v>393834.65996322362</v>
      </c>
      <c r="K13" s="23">
        <f>+'GAAP CF Act &amp; Forecast'!K17</f>
        <v>-306339.40131926979</v>
      </c>
      <c r="L13" s="23">
        <f>+'GAAP CF Act &amp; Forecast'!L17</f>
        <v>-173062.719808341</v>
      </c>
      <c r="M13" s="23">
        <f>+'GAAP CF Act &amp; Forecast'!M17</f>
        <v>-128891.68156349612</v>
      </c>
      <c r="N13" s="23">
        <f>+'GAAP CF Act &amp; Forecast'!N17</f>
        <v>-273229.59902129997</v>
      </c>
      <c r="O13" s="35">
        <f t="shared" si="0"/>
        <v>-437289.62617461942</v>
      </c>
      <c r="Q13" s="23">
        <f>+'GAAP CF Act &amp; Forecast'!Q17</f>
        <v>75437</v>
      </c>
      <c r="R13" s="23">
        <f>+'GAAP CF Act &amp; Forecast'!R17</f>
        <v>268998</v>
      </c>
      <c r="S13" s="23">
        <f>+'GAAP CF Act &amp; Forecast'!S17</f>
        <v>167333</v>
      </c>
      <c r="T13" s="23">
        <f>+'GAAP CF Act &amp; Forecast'!T17</f>
        <v>-155665.79867836041</v>
      </c>
      <c r="U13" s="23">
        <f>+'GAAP CF Act &amp; Forecast'!U17</f>
        <v>-125285.17865384417</v>
      </c>
      <c r="V13" s="23">
        <f>+'GAAP CF Act &amp; Forecast'!V17</f>
        <v>-252532.97627001954</v>
      </c>
      <c r="W13" s="23">
        <f>+'GAAP CF Act &amp; Forecast'!W17</f>
        <v>27713.023662588559</v>
      </c>
      <c r="X13" s="23">
        <f>+'GAAP CF Act &amp; Forecast'!X17</f>
        <v>315122.61806957284</v>
      </c>
      <c r="Y13" s="23">
        <f>+'GAAP CF Act &amp; Forecast'!Y17</f>
        <v>315543.471339104</v>
      </c>
      <c r="Z13" s="23">
        <f>+'GAAP CF Act &amp; Forecast'!Z17</f>
        <v>140224.09959348384</v>
      </c>
      <c r="AA13" s="23">
        <f>+'GAAP CF Act &amp; Forecast'!AA17</f>
        <v>-64459.550265631871</v>
      </c>
      <c r="AB13" s="23">
        <f>+'GAAP CF Act &amp; Forecast'!AB17</f>
        <v>-192272.42472820706</v>
      </c>
      <c r="AC13" s="43">
        <f t="shared" si="1"/>
        <v>520155.28406868619</v>
      </c>
      <c r="AE13" s="23">
        <f>+'GAAP CF Act &amp; Forecast'!AE17</f>
        <v>-601177.48872911022</v>
      </c>
      <c r="AF13" s="23">
        <f>+'GAAP CF Act &amp; Forecast'!AF17</f>
        <v>1477777.628014944</v>
      </c>
      <c r="AG13" s="23">
        <f>+'GAAP CF Act &amp; Forecast'!AG17</f>
        <v>-247946.3662823285</v>
      </c>
      <c r="AH13" s="23">
        <f>+'GAAP CF Act &amp; Forecast'!AH17</f>
        <v>-741344.74378181319</v>
      </c>
      <c r="AI13" s="23">
        <f>+'GAAP CF Act &amp; Forecast'!AI17</f>
        <v>-155304.51161020016</v>
      </c>
      <c r="AJ13" s="23">
        <f>+'GAAP CF Act &amp; Forecast'!AJ17</f>
        <v>72638.491323572583</v>
      </c>
      <c r="AK13" s="23">
        <f>+'GAAP CF Act &amp; Forecast'!AK17</f>
        <v>148972.92781835538</v>
      </c>
      <c r="AL13" s="23">
        <f>+'GAAP CF Act &amp; Forecast'!AL17</f>
        <v>346510.30387712712</v>
      </c>
      <c r="AM13" s="23">
        <f>+'GAAP CF Act &amp; Forecast'!AM17</f>
        <v>227356.10499167047</v>
      </c>
      <c r="AN13" s="23">
        <f>+'GAAP CF Act &amp; Forecast'!AN17</f>
        <v>-112775.78260270506</v>
      </c>
      <c r="AO13" s="23">
        <f>+'GAAP CF Act &amp; Forecast'!AO17</f>
        <v>-230194.08361466788</v>
      </c>
      <c r="AP13" s="23">
        <f>+'GAAP CF Act &amp; Forecast'!AP17</f>
        <v>-307450.18080565729</v>
      </c>
      <c r="AQ13" s="35">
        <f t="shared" si="2"/>
        <v>-122937.70140081272</v>
      </c>
    </row>
    <row r="14" spans="1:43" x14ac:dyDescent="0.15">
      <c r="A14" t="s">
        <v>208</v>
      </c>
      <c r="C14" s="23">
        <f>+'GAAP CF Act &amp; Forecast'!C31</f>
        <v>-175000</v>
      </c>
      <c r="D14" s="23">
        <f>+'GAAP CF Act &amp; Forecast'!D31</f>
        <v>-75000</v>
      </c>
      <c r="E14" s="23">
        <f>+'GAAP CF Act &amp; Forecast'!E31</f>
        <v>-75000</v>
      </c>
      <c r="F14" s="23">
        <f>+'GAAP CF Act &amp; Forecast'!F31</f>
        <v>-75000</v>
      </c>
      <c r="G14" s="23">
        <f>+'GAAP CF Act &amp; Forecast'!G31</f>
        <v>-75000</v>
      </c>
      <c r="H14" s="23">
        <f>+'GAAP CF Act &amp; Forecast'!H31</f>
        <v>-75000</v>
      </c>
      <c r="I14" s="23">
        <f>+'GAAP CF Act &amp; Forecast'!I31</f>
        <v>-75000</v>
      </c>
      <c r="J14" s="23">
        <f>+'GAAP CF Act &amp; Forecast'!J31</f>
        <v>-75000</v>
      </c>
      <c r="K14" s="23">
        <f>+'GAAP CF Act &amp; Forecast'!K31</f>
        <v>-75000</v>
      </c>
      <c r="L14" s="23">
        <f>+'GAAP CF Act &amp; Forecast'!L31</f>
        <v>-75000</v>
      </c>
      <c r="M14" s="23">
        <f>+'GAAP CF Act &amp; Forecast'!M31</f>
        <v>-75000</v>
      </c>
      <c r="N14" s="23">
        <f>+'GAAP CF Act &amp; Forecast'!N31</f>
        <v>-400000</v>
      </c>
      <c r="O14" s="35">
        <f t="shared" si="0"/>
        <v>-1325000</v>
      </c>
      <c r="Q14" s="23">
        <f>+'GAAP CF Act &amp; Forecast'!Q31</f>
        <v>-100000</v>
      </c>
      <c r="R14" s="23">
        <f>+'GAAP CF Act &amp; Forecast'!R31</f>
        <v>-100000</v>
      </c>
      <c r="S14" s="23">
        <f>+'GAAP CF Act &amp; Forecast'!S31</f>
        <v>-100000</v>
      </c>
      <c r="T14" s="23">
        <f>+'GAAP CF Act &amp; Forecast'!T31</f>
        <v>-100000</v>
      </c>
      <c r="U14" s="23">
        <f>+'GAAP CF Act &amp; Forecast'!U31</f>
        <v>-100000</v>
      </c>
      <c r="V14" s="23">
        <f>+'GAAP CF Act &amp; Forecast'!V31</f>
        <v>-100000</v>
      </c>
      <c r="W14" s="23">
        <f>+'GAAP CF Act &amp; Forecast'!W31</f>
        <v>-100000</v>
      </c>
      <c r="X14" s="23">
        <f>+'GAAP CF Act &amp; Forecast'!X31</f>
        <v>0</v>
      </c>
      <c r="Y14" s="23">
        <f>+'GAAP CF Act &amp; Forecast'!Y31</f>
        <v>0</v>
      </c>
      <c r="Z14" s="23">
        <f>+'GAAP CF Act &amp; Forecast'!Z31</f>
        <v>0</v>
      </c>
      <c r="AA14" s="23">
        <f>+'GAAP CF Act &amp; Forecast'!AA31</f>
        <v>0</v>
      </c>
      <c r="AB14" s="23">
        <f>+'GAAP CF Act &amp; Forecast'!AB31</f>
        <v>0</v>
      </c>
      <c r="AC14" s="43">
        <f t="shared" si="1"/>
        <v>-700000</v>
      </c>
      <c r="AE14" s="23">
        <f>+'GAAP CF Act &amp; Forecast'!AE31</f>
        <v>0</v>
      </c>
      <c r="AF14" s="23">
        <f>+'GAAP CF Act &amp; Forecast'!AF31</f>
        <v>0</v>
      </c>
      <c r="AG14" s="23">
        <f>+'GAAP CF Act &amp; Forecast'!AG31</f>
        <v>-100000</v>
      </c>
      <c r="AH14" s="23">
        <f>+'GAAP CF Act &amp; Forecast'!AH31</f>
        <v>-100000</v>
      </c>
      <c r="AI14" s="23">
        <f>+'GAAP CF Act &amp; Forecast'!AI31</f>
        <v>-100000</v>
      </c>
      <c r="AJ14" s="23">
        <f>+'GAAP CF Act &amp; Forecast'!AJ31</f>
        <v>-100000</v>
      </c>
      <c r="AK14" s="23">
        <f>+'GAAP CF Act &amp; Forecast'!AK31</f>
        <v>-100000</v>
      </c>
      <c r="AL14" s="23">
        <f>+'GAAP CF Act &amp; Forecast'!AL31</f>
        <v>-100000</v>
      </c>
      <c r="AM14" s="23">
        <f>+'GAAP CF Act &amp; Forecast'!AM31</f>
        <v>-100000</v>
      </c>
      <c r="AN14" s="23">
        <f>+'GAAP CF Act &amp; Forecast'!AN31</f>
        <v>-100000</v>
      </c>
      <c r="AO14" s="23">
        <f>+'GAAP CF Act &amp; Forecast'!AO31</f>
        <v>-100000</v>
      </c>
      <c r="AP14" s="23">
        <f>+'GAAP CF Act &amp; Forecast'!AP31</f>
        <v>-600000</v>
      </c>
      <c r="AQ14" s="35">
        <f t="shared" si="2"/>
        <v>-1500000</v>
      </c>
    </row>
    <row r="15" spans="1:43" x14ac:dyDescent="0.15">
      <c r="A15" t="s">
        <v>88</v>
      </c>
      <c r="C15" s="23">
        <f>+'GAAP CF Act &amp; Forecast'!C18+'GAAP CF Act &amp; Forecast'!C30</f>
        <v>-15000</v>
      </c>
      <c r="D15" s="23">
        <f>+'GAAP CF Act &amp; Forecast'!D18+'GAAP CF Act &amp; Forecast'!D30</f>
        <v>-15000</v>
      </c>
      <c r="E15" s="23">
        <f>+'GAAP CF Act &amp; Forecast'!E18+'GAAP CF Act &amp; Forecast'!E30</f>
        <v>-15000</v>
      </c>
      <c r="F15" s="23">
        <f>+'GAAP CF Act &amp; Forecast'!F18+'GAAP CF Act &amp; Forecast'!F30</f>
        <v>-15000</v>
      </c>
      <c r="G15" s="23">
        <f>+'GAAP CF Act &amp; Forecast'!G18+'GAAP CF Act &amp; Forecast'!G30</f>
        <v>-15000</v>
      </c>
      <c r="H15" s="23">
        <f>+'GAAP CF Act &amp; Forecast'!H18+'GAAP CF Act &amp; Forecast'!H30</f>
        <v>-15000</v>
      </c>
      <c r="I15" s="23">
        <f>+'GAAP CF Act &amp; Forecast'!I18+'GAAP CF Act &amp; Forecast'!I30</f>
        <v>-15000</v>
      </c>
      <c r="J15" s="23">
        <f>+'GAAP CF Act &amp; Forecast'!J18+'GAAP CF Act &amp; Forecast'!J30</f>
        <v>-15000</v>
      </c>
      <c r="K15" s="23">
        <f>+'GAAP CF Act &amp; Forecast'!K18+'GAAP CF Act &amp; Forecast'!K30</f>
        <v>-15000</v>
      </c>
      <c r="L15" s="23">
        <f>+'GAAP CF Act &amp; Forecast'!L18+'GAAP CF Act &amp; Forecast'!L30</f>
        <v>-15000</v>
      </c>
      <c r="M15" s="23">
        <f>+'GAAP CF Act &amp; Forecast'!M18+'GAAP CF Act &amp; Forecast'!M30</f>
        <v>-15000</v>
      </c>
      <c r="N15" s="23">
        <f>+'GAAP CF Act &amp; Forecast'!N18+'GAAP CF Act &amp; Forecast'!N30</f>
        <v>-15000</v>
      </c>
      <c r="O15" s="35">
        <f t="shared" si="0"/>
        <v>-180000</v>
      </c>
      <c r="Q15" s="23">
        <f>+'GAAP CF Act &amp; Forecast'!Q18+'GAAP CF Act &amp; Forecast'!Q30</f>
        <v>-15000</v>
      </c>
      <c r="R15" s="23">
        <f>+'GAAP CF Act &amp; Forecast'!R18+'GAAP CF Act &amp; Forecast'!R30</f>
        <v>-15000</v>
      </c>
      <c r="S15" s="23">
        <f>+'GAAP CF Act &amp; Forecast'!S18+'GAAP CF Act &amp; Forecast'!S30</f>
        <v>-15000</v>
      </c>
      <c r="T15" s="23">
        <f>+'GAAP CF Act &amp; Forecast'!T18+'GAAP CF Act &amp; Forecast'!T30</f>
        <v>-15000</v>
      </c>
      <c r="U15" s="23">
        <f>+'GAAP CF Act &amp; Forecast'!U18+'GAAP CF Act &amp; Forecast'!U30</f>
        <v>-15000</v>
      </c>
      <c r="V15" s="23">
        <f>+'GAAP CF Act &amp; Forecast'!V18+'GAAP CF Act &amp; Forecast'!V30</f>
        <v>-15000</v>
      </c>
      <c r="W15" s="23">
        <f>+'GAAP CF Act &amp; Forecast'!W18+'GAAP CF Act &amp; Forecast'!W30</f>
        <v>-15000</v>
      </c>
      <c r="X15" s="23">
        <f>+'GAAP CF Act &amp; Forecast'!X18+'GAAP CF Act &amp; Forecast'!X30</f>
        <v>-15000</v>
      </c>
      <c r="Y15" s="23">
        <f>+'GAAP CF Act &amp; Forecast'!Y18+'GAAP CF Act &amp; Forecast'!Y30</f>
        <v>-15000</v>
      </c>
      <c r="Z15" s="23">
        <f>+'GAAP CF Act &amp; Forecast'!Z18+'GAAP CF Act &amp; Forecast'!Z30</f>
        <v>-15000</v>
      </c>
      <c r="AA15" s="23">
        <f>+'GAAP CF Act &amp; Forecast'!AA18+'GAAP CF Act &amp; Forecast'!AA30</f>
        <v>-15000</v>
      </c>
      <c r="AB15" s="23">
        <f>+'GAAP CF Act &amp; Forecast'!AB18+'GAAP CF Act &amp; Forecast'!AB30</f>
        <v>-15000</v>
      </c>
      <c r="AC15" s="43">
        <f t="shared" si="1"/>
        <v>-180000</v>
      </c>
      <c r="AE15" s="23">
        <f>+'GAAP CF Act &amp; Forecast'!AE18+'GAAP CF Act &amp; Forecast'!AE30</f>
        <v>-15000</v>
      </c>
      <c r="AF15" s="23">
        <f>+'GAAP CF Act &amp; Forecast'!AF18+'GAAP CF Act &amp; Forecast'!AF30</f>
        <v>-15000</v>
      </c>
      <c r="AG15" s="23">
        <f>+'GAAP CF Act &amp; Forecast'!AG18+'GAAP CF Act &amp; Forecast'!AG30</f>
        <v>-15000</v>
      </c>
      <c r="AH15" s="23">
        <f>+'GAAP CF Act &amp; Forecast'!AH18+'GAAP CF Act &amp; Forecast'!AH30</f>
        <v>-15000</v>
      </c>
      <c r="AI15" s="23">
        <f>+'GAAP CF Act &amp; Forecast'!AI18+'GAAP CF Act &amp; Forecast'!AI30</f>
        <v>-15000</v>
      </c>
      <c r="AJ15" s="23">
        <f>+'GAAP CF Act &amp; Forecast'!AJ18+'GAAP CF Act &amp; Forecast'!AJ30</f>
        <v>-15000</v>
      </c>
      <c r="AK15" s="23">
        <f>+'GAAP CF Act &amp; Forecast'!AK18+'GAAP CF Act &amp; Forecast'!AK30</f>
        <v>-202082.5</v>
      </c>
      <c r="AL15" s="23">
        <f>+'GAAP CF Act &amp; Forecast'!AL18+'GAAP CF Act &amp; Forecast'!AL30</f>
        <v>-202082.5</v>
      </c>
      <c r="AM15" s="23">
        <f>+'GAAP CF Act &amp; Forecast'!AM18+'GAAP CF Act &amp; Forecast'!AM30</f>
        <v>-202082.5</v>
      </c>
      <c r="AN15" s="23">
        <f>+'GAAP CF Act &amp; Forecast'!AN18+'GAAP CF Act &amp; Forecast'!AN30</f>
        <v>-202082.5</v>
      </c>
      <c r="AO15" s="23">
        <f>+'GAAP CF Act &amp; Forecast'!AO18+'GAAP CF Act &amp; Forecast'!AO30</f>
        <v>-202082.5</v>
      </c>
      <c r="AP15" s="23">
        <f>+'GAAP CF Act &amp; Forecast'!AP18+'GAAP CF Act &amp; Forecast'!AP30</f>
        <v>-202082.5</v>
      </c>
      <c r="AQ15" s="35">
        <f t="shared" si="2"/>
        <v>-1302495</v>
      </c>
    </row>
    <row r="16" spans="1:43" x14ac:dyDescent="0.15">
      <c r="A16" t="s">
        <v>209</v>
      </c>
      <c r="C16" s="24">
        <f>+'GAAP CF Act &amp; Forecast'!C36-SUM('Ex 7'!C11:C15)</f>
        <v>9889</v>
      </c>
      <c r="D16" s="24">
        <f>+'GAAP CF Act &amp; Forecast'!D36-SUM('Ex 7'!D11:D15)</f>
        <v>-39009.339308000111</v>
      </c>
      <c r="E16" s="24">
        <f>+'GAAP CF Act &amp; Forecast'!E36-SUM('Ex 7'!E11:E15)</f>
        <v>-19905.206096360023</v>
      </c>
      <c r="F16" s="24">
        <f>+'GAAP CF Act &amp; Forecast'!F36-SUM('Ex 7'!F11:F15)</f>
        <v>-13438.970595953753</v>
      </c>
      <c r="G16" s="24">
        <f>+'GAAP CF Act &amp; Forecast'!G36-SUM('Ex 7'!G11:G15)</f>
        <v>-43875.581240702886</v>
      </c>
      <c r="H16" s="24">
        <f>+'GAAP CF Act &amp; Forecast'!H36-SUM('Ex 7'!H11:H15)</f>
        <v>17241.873773288273</v>
      </c>
      <c r="I16" s="24">
        <f>+'GAAP CF Act &amp; Forecast'!I36-SUM('Ex 7'!I11:I15)</f>
        <v>33270.119726184232</v>
      </c>
      <c r="J16" s="24">
        <f>+'GAAP CF Act &amp; Forecast'!J36-SUM('Ex 7'!J11:J15)</f>
        <v>125124.30372416112</v>
      </c>
      <c r="K16" s="24">
        <f>+'GAAP CF Act &amp; Forecast'!K36-SUM('Ex 7'!K11:K15)</f>
        <v>4850.1422331050271</v>
      </c>
      <c r="L16" s="24">
        <f>+'GAAP CF Act &amp; Forecast'!L36-SUM('Ex 7'!L11:L15)</f>
        <v>-52554.21592161007</v>
      </c>
      <c r="M16" s="24">
        <f>+'GAAP CF Act &amp; Forecast'!M36-SUM('Ex 7'!M11:M15)</f>
        <v>22882.182788060512</v>
      </c>
      <c r="N16" s="24">
        <f>+'GAAP CF Act &amp; Forecast'!N36-SUM('Ex 7'!N11:N15)</f>
        <v>-34298.458640301134</v>
      </c>
      <c r="O16" s="24">
        <f t="shared" si="0"/>
        <v>10175.850441871182</v>
      </c>
      <c r="Q16" s="24">
        <f>+'GAAP CF Act &amp; Forecast'!Q36-SUM('Ex 7'!Q11:Q15)</f>
        <v>-1676.3850058334647</v>
      </c>
      <c r="R16" s="24">
        <f>+'GAAP CF Act &amp; Forecast'!R36-SUM('Ex 7'!R11:R15)</f>
        <v>33762.026760710869</v>
      </c>
      <c r="S16" s="24">
        <f>+'GAAP CF Act &amp; Forecast'!S36-SUM('Ex 7'!S11:S15)</f>
        <v>30869.158271084656</v>
      </c>
      <c r="T16" s="24">
        <f>+'GAAP CF Act &amp; Forecast'!T36-SUM('Ex 7'!T11:T15)</f>
        <v>53625.670486589079</v>
      </c>
      <c r="U16" s="24">
        <f>+'GAAP CF Act &amp; Forecast'!U36-SUM('Ex 7'!U11:U15)</f>
        <v>-51550.188102807937</v>
      </c>
      <c r="V16" s="24">
        <f>+'GAAP CF Act &amp; Forecast'!V36-SUM('Ex 7'!V11:V15)</f>
        <v>-44243.412117338856</v>
      </c>
      <c r="W16" s="24">
        <f>+'GAAP CF Act &amp; Forecast'!W36-SUM('Ex 7'!W11:W15)</f>
        <v>-47550.978133113589</v>
      </c>
      <c r="X16" s="24">
        <f>+'GAAP CF Act &amp; Forecast'!X36-SUM('Ex 7'!X11:X15)</f>
        <v>76973.354423041455</v>
      </c>
      <c r="Y16" s="24">
        <f>+'GAAP CF Act &amp; Forecast'!Y36-SUM('Ex 7'!Y11:Y15)</f>
        <v>76987.756988572655</v>
      </c>
      <c r="Z16" s="24">
        <f>+'GAAP CF Act &amp; Forecast'!Z36-SUM('Ex 7'!Z11:Z15)</f>
        <v>18427.724158118246</v>
      </c>
      <c r="AA16" s="24">
        <f>+'GAAP CF Act &amp; Forecast'!AA36-SUM('Ex 7'!AA11:AA15)</f>
        <v>-12472.883546207973</v>
      </c>
      <c r="AB16" s="24">
        <f>+'GAAP CF Act &amp; Forecast'!AB36-SUM('Ex 7'!AB11:AB15)</f>
        <v>-36803.425979395251</v>
      </c>
      <c r="AC16" s="24">
        <f t="shared" si="1"/>
        <v>96348.418203419889</v>
      </c>
      <c r="AE16" s="24">
        <f>+'GAAP CF Act &amp; Forecast'!AE36-SUM('Ex 7'!AE11:AE15)</f>
        <v>138398.34085577249</v>
      </c>
      <c r="AF16" s="24">
        <f>+'GAAP CF Act &amp; Forecast'!AF36-SUM('Ex 7'!AF11:AF15)</f>
        <v>52567.091132681118</v>
      </c>
      <c r="AG16" s="24">
        <f>+'GAAP CF Act &amp; Forecast'!AG36-SUM('Ex 7'!AG11:AG15)</f>
        <v>-55594.722319163382</v>
      </c>
      <c r="AH16" s="24">
        <f>+'GAAP CF Act &amp; Forecast'!AH36-SUM('Ex 7'!AH11:AH15)</f>
        <v>-155129.4500068354</v>
      </c>
      <c r="AI16" s="24">
        <f>+'GAAP CF Act &amp; Forecast'!AI36-SUM('Ex 7'!AI11:AI15)</f>
        <v>-28732.806520328857</v>
      </c>
      <c r="AJ16" s="24">
        <f>+'GAAP CF Act &amp; Forecast'!AJ36-SUM('Ex 7'!AJ11:AJ15)</f>
        <v>-2901.3364842202282</v>
      </c>
      <c r="AK16" s="24">
        <f>+'GAAP CF Act &amp; Forecast'!AK36-SUM('Ex 7'!AK11:AK15)</f>
        <v>39592.131160726451</v>
      </c>
      <c r="AL16" s="24">
        <f>+'GAAP CF Act &amp; Forecast'!AL36-SUM('Ex 7'!AL11:AL15)</f>
        <v>84103.692453725438</v>
      </c>
      <c r="AM16" s="24">
        <f>+'GAAP CF Act &amp; Forecast'!AM36-SUM('Ex 7'!AM11:AM15)</f>
        <v>7241.2216362258769</v>
      </c>
      <c r="AN16" s="24">
        <f>+'GAAP CF Act &amp; Forecast'!AN36-SUM('Ex 7'!AN11:AN15)</f>
        <v>-19493.035361564311</v>
      </c>
      <c r="AO16" s="24">
        <f>+'GAAP CF Act &amp; Forecast'!AO36-SUM('Ex 7'!AO11:AO15)</f>
        <v>-45983.112257926958</v>
      </c>
      <c r="AP16" s="24">
        <f>+'GAAP CF Act &amp; Forecast'!AP36-SUM('Ex 7'!AP11:AP15)</f>
        <v>-63412.60105415876</v>
      </c>
      <c r="AQ16" s="24">
        <f t="shared" si="2"/>
        <v>-49344.586765066517</v>
      </c>
    </row>
    <row r="17" spans="1:43" x14ac:dyDescent="0.1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</row>
    <row r="18" spans="1:43" x14ac:dyDescent="0.15">
      <c r="A18" s="54" t="s">
        <v>47</v>
      </c>
      <c r="C18" s="23">
        <f>SUM(C11:C16)</f>
        <v>-101973.61099999995</v>
      </c>
      <c r="D18" s="23">
        <f t="shared" ref="D18:O18" si="3">SUM(D11:D16)</f>
        <v>196694.03654620581</v>
      </c>
      <c r="E18" s="23">
        <f t="shared" si="3"/>
        <v>41339.450588983455</v>
      </c>
      <c r="F18" s="23">
        <f t="shared" si="3"/>
        <v>-356515.13262563106</v>
      </c>
      <c r="G18" s="23">
        <f t="shared" si="3"/>
        <v>209831.16244376323</v>
      </c>
      <c r="H18" s="23">
        <f t="shared" si="3"/>
        <v>210605.95808210247</v>
      </c>
      <c r="I18" s="23">
        <f t="shared" si="3"/>
        <v>70352.780209818244</v>
      </c>
      <c r="J18" s="23">
        <f t="shared" si="3"/>
        <v>537316.05142606725</v>
      </c>
      <c r="K18" s="23">
        <f t="shared" si="3"/>
        <v>-289420.67827523721</v>
      </c>
      <c r="L18" s="23">
        <f t="shared" si="3"/>
        <v>-292940.23949825543</v>
      </c>
      <c r="M18" s="23">
        <f t="shared" si="3"/>
        <v>-31167.670788903895</v>
      </c>
      <c r="N18" s="23">
        <f t="shared" si="3"/>
        <v>-613253.61087233596</v>
      </c>
      <c r="O18" s="23">
        <f t="shared" si="3"/>
        <v>-419131.50376342307</v>
      </c>
      <c r="Q18" s="23">
        <f>SUM(Q11:Q16)</f>
        <v>148718.892847082</v>
      </c>
      <c r="R18" s="23">
        <f t="shared" ref="R18:AC18" si="4">SUM(R11:R16)</f>
        <v>348380.19907071092</v>
      </c>
      <c r="S18" s="23">
        <f t="shared" si="4"/>
        <v>200067.93295286607</v>
      </c>
      <c r="T18" s="23">
        <f t="shared" si="4"/>
        <v>-188204.15854981483</v>
      </c>
      <c r="U18" s="23">
        <f t="shared" si="4"/>
        <v>-159192.41092505225</v>
      </c>
      <c r="V18" s="23">
        <f t="shared" si="4"/>
        <v>-124674.2443692676</v>
      </c>
      <c r="W18" s="23">
        <f t="shared" si="4"/>
        <v>202778.85285388783</v>
      </c>
      <c r="X18" s="23">
        <f t="shared" si="4"/>
        <v>-88343.320509903715</v>
      </c>
      <c r="Y18" s="23">
        <f t="shared" si="4"/>
        <v>-32580.039962579613</v>
      </c>
      <c r="Z18" s="23">
        <f t="shared" si="4"/>
        <v>-572459.8718403778</v>
      </c>
      <c r="AA18" s="23">
        <f t="shared" si="4"/>
        <v>252892.37807345064</v>
      </c>
      <c r="AB18" s="23">
        <f t="shared" si="4"/>
        <v>-82012.188057037885</v>
      </c>
      <c r="AC18" s="23">
        <f t="shared" si="4"/>
        <v>-94627.978416036</v>
      </c>
      <c r="AE18" s="23">
        <f>SUM(AE11:AE16)</f>
        <v>-355453.44536169723</v>
      </c>
      <c r="AF18" s="23">
        <f t="shared" ref="AF18:AQ18" si="5">SUM(AF11:AF16)</f>
        <v>380554.21894336236</v>
      </c>
      <c r="AG18" s="23">
        <f t="shared" si="5"/>
        <v>869565.60501022427</v>
      </c>
      <c r="AH18" s="23">
        <f t="shared" si="5"/>
        <v>701079.66524687107</v>
      </c>
      <c r="AI18" s="23">
        <f t="shared" si="5"/>
        <v>208872.47486095247</v>
      </c>
      <c r="AJ18" s="23">
        <f t="shared" si="5"/>
        <v>-57479.14863900069</v>
      </c>
      <c r="AK18" s="23">
        <f t="shared" si="5"/>
        <v>-230668.64713903356</v>
      </c>
      <c r="AL18" s="23">
        <f t="shared" si="5"/>
        <v>-291927.5719257262</v>
      </c>
      <c r="AM18" s="23">
        <f t="shared" si="5"/>
        <v>-245257.60577621893</v>
      </c>
      <c r="AN18" s="23">
        <f t="shared" si="5"/>
        <v>28026.087230818288</v>
      </c>
      <c r="AO18" s="23">
        <f t="shared" si="5"/>
        <v>73727.67678375484</v>
      </c>
      <c r="AP18" s="23">
        <f t="shared" si="5"/>
        <v>-445471.52771612478</v>
      </c>
      <c r="AQ18" s="23">
        <f t="shared" si="5"/>
        <v>635567.78151818155</v>
      </c>
    </row>
    <row r="19" spans="1:43" x14ac:dyDescent="0.15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</row>
    <row r="20" spans="1:43" ht="14" thickBot="1" x14ac:dyDescent="0.2">
      <c r="A20" s="54" t="s">
        <v>48</v>
      </c>
      <c r="C20" s="93">
        <f>+C9+C18</f>
        <v>1143470.389</v>
      </c>
      <c r="D20" s="93">
        <f t="shared" ref="D20:O20" si="6">+D9+D18</f>
        <v>1340164.4255462058</v>
      </c>
      <c r="E20" s="93">
        <f t="shared" si="6"/>
        <v>1381503.8761351893</v>
      </c>
      <c r="F20" s="93">
        <f t="shared" si="6"/>
        <v>1024988.7435095583</v>
      </c>
      <c r="G20" s="93">
        <f t="shared" si="6"/>
        <v>1234819.9059533216</v>
      </c>
      <c r="H20" s="93">
        <f t="shared" si="6"/>
        <v>1445425.8640354241</v>
      </c>
      <c r="I20" s="93">
        <f t="shared" si="6"/>
        <v>1515778.6442452422</v>
      </c>
      <c r="J20" s="93">
        <f t="shared" si="6"/>
        <v>2053094.6956713095</v>
      </c>
      <c r="K20" s="93">
        <f t="shared" si="6"/>
        <v>1763674.0173960724</v>
      </c>
      <c r="L20" s="93">
        <f t="shared" si="6"/>
        <v>1470733.7778978171</v>
      </c>
      <c r="M20" s="93">
        <f t="shared" si="6"/>
        <v>1439566.1071089131</v>
      </c>
      <c r="N20" s="93">
        <f t="shared" si="6"/>
        <v>826312.49623657716</v>
      </c>
      <c r="O20" s="93">
        <f t="shared" si="6"/>
        <v>826312.49623657693</v>
      </c>
      <c r="Q20" s="93">
        <f>+Q9+Q18</f>
        <v>975031.38908365916</v>
      </c>
      <c r="R20" s="93">
        <f t="shared" ref="R20:AC20" si="7">+R9+R18</f>
        <v>1323411.58815437</v>
      </c>
      <c r="S20" s="93">
        <f t="shared" si="7"/>
        <v>1523479.5211072359</v>
      </c>
      <c r="T20" s="93">
        <f t="shared" si="7"/>
        <v>1335275.362557421</v>
      </c>
      <c r="U20" s="93">
        <f t="shared" si="7"/>
        <v>1176082.9516323688</v>
      </c>
      <c r="V20" s="93">
        <f t="shared" si="7"/>
        <v>1051408.7072631014</v>
      </c>
      <c r="W20" s="93">
        <f t="shared" si="7"/>
        <v>1254187.5601169891</v>
      </c>
      <c r="X20" s="93">
        <f t="shared" si="7"/>
        <v>1165844.2396070855</v>
      </c>
      <c r="Y20" s="93">
        <f t="shared" si="7"/>
        <v>1133264.199644506</v>
      </c>
      <c r="Z20" s="93">
        <f t="shared" si="7"/>
        <v>560804.32780412817</v>
      </c>
      <c r="AA20" s="93">
        <f t="shared" si="7"/>
        <v>813696.70587757882</v>
      </c>
      <c r="AB20" s="93">
        <f t="shared" si="7"/>
        <v>731684.51782054093</v>
      </c>
      <c r="AC20" s="93">
        <f t="shared" si="7"/>
        <v>731684.51782054116</v>
      </c>
      <c r="AE20" s="93">
        <f>+AE9+AE18</f>
        <v>376231.0724588437</v>
      </c>
      <c r="AF20" s="93">
        <f t="shared" ref="AF20:AQ20" si="8">+AF9+AF18</f>
        <v>756785.29140220606</v>
      </c>
      <c r="AG20" s="93">
        <f t="shared" si="8"/>
        <v>1626350.8964124303</v>
      </c>
      <c r="AH20" s="93">
        <f t="shared" si="8"/>
        <v>2327430.5616593016</v>
      </c>
      <c r="AI20" s="93">
        <f t="shared" si="8"/>
        <v>2536303.0365202539</v>
      </c>
      <c r="AJ20" s="93">
        <f t="shared" si="8"/>
        <v>2478823.8878812534</v>
      </c>
      <c r="AK20" s="93">
        <f t="shared" si="8"/>
        <v>2248155.2407422196</v>
      </c>
      <c r="AL20" s="93">
        <f t="shared" si="8"/>
        <v>1956227.6688164934</v>
      </c>
      <c r="AM20" s="93">
        <f t="shared" si="8"/>
        <v>1710970.0630402744</v>
      </c>
      <c r="AN20" s="93">
        <f t="shared" si="8"/>
        <v>1738996.1502710928</v>
      </c>
      <c r="AO20" s="93">
        <f t="shared" si="8"/>
        <v>1812723.8270548475</v>
      </c>
      <c r="AP20" s="93">
        <f t="shared" si="8"/>
        <v>1367252.2993387226</v>
      </c>
      <c r="AQ20" s="93">
        <f t="shared" si="8"/>
        <v>1367252.2993387226</v>
      </c>
    </row>
    <row r="21" spans="1:43" ht="14" thickTop="1" x14ac:dyDescent="0.15"/>
  </sheetData>
  <pageMargins left="0.7" right="0.7" top="0.75" bottom="0.75" header="0.3" footer="0.3"/>
  <pageSetup orientation="landscape"/>
  <colBreaks count="2" manualBreakCount="2">
    <brk id="16" max="43" man="1"/>
    <brk id="29" max="43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A2"/>
  <sheetViews>
    <sheetView workbookViewId="0">
      <selection activeCell="A14" sqref="A14"/>
    </sheetView>
  </sheetViews>
  <sheetFormatPr baseColWidth="10" defaultColWidth="8.83203125" defaultRowHeight="13" x14ac:dyDescent="0.15"/>
  <cols>
    <col min="1" max="1" width="22.1640625" bestFit="1" customWidth="1"/>
  </cols>
  <sheetData>
    <row r="1" spans="1:1" x14ac:dyDescent="0.15">
      <c r="A1" t="str">
        <f>+'Summary Cash Flow'!A1</f>
        <v>ABC Construction Company</v>
      </c>
    </row>
    <row r="2" spans="1:1" ht="18" x14ac:dyDescent="0.2">
      <c r="A2" s="137" t="s">
        <v>211</v>
      </c>
    </row>
  </sheetData>
  <pageMargins left="0.7" right="0.7" top="0.75" bottom="0.75" header="0.3" footer="0.3"/>
  <pageSetup scale="84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15</vt:i4>
      </vt:variant>
    </vt:vector>
  </HeadingPairs>
  <TitlesOfParts>
    <vt:vector size="37" baseType="lpstr">
      <vt:lpstr>NOTES From Author</vt:lpstr>
      <vt:lpstr>Ex 1</vt:lpstr>
      <vt:lpstr>Ex 2</vt:lpstr>
      <vt:lpstr>Ex 3</vt:lpstr>
      <vt:lpstr>Ex 4</vt:lpstr>
      <vt:lpstr>Ex 5</vt:lpstr>
      <vt:lpstr>Ex 6</vt:lpstr>
      <vt:lpstr>Ex 7</vt:lpstr>
      <vt:lpstr>Ex 8</vt:lpstr>
      <vt:lpstr>IS Actual &amp; Forecast</vt:lpstr>
      <vt:lpstr>BS Actual &amp; Forecast</vt:lpstr>
      <vt:lpstr>GAAP CF Act &amp; Forecast</vt:lpstr>
      <vt:lpstr>Summary Cash Flow</vt:lpstr>
      <vt:lpstr>CIP Schedule</vt:lpstr>
      <vt:lpstr>Assumptions Summary</vt:lpstr>
      <vt:lpstr>IS Actuals</vt:lpstr>
      <vt:lpstr>BS Actuals</vt:lpstr>
      <vt:lpstr>GAAP CF Actuals</vt:lpstr>
      <vt:lpstr>POM Actual &amp; Forecast</vt:lpstr>
      <vt:lpstr>POM Actuals</vt:lpstr>
      <vt:lpstr>IS for importing to SW</vt:lpstr>
      <vt:lpstr>BS for importing to SW</vt:lpstr>
      <vt:lpstr>'BS Actual &amp; Forecast'!Print_Area</vt:lpstr>
      <vt:lpstr>'BS Actuals'!Print_Area</vt:lpstr>
      <vt:lpstr>'BS for importing to SW'!Print_Area</vt:lpstr>
      <vt:lpstr>'CIP Schedule'!Print_Area</vt:lpstr>
      <vt:lpstr>'Ex 2'!Print_Area</vt:lpstr>
      <vt:lpstr>'Ex 3'!Print_Area</vt:lpstr>
      <vt:lpstr>'Ex 4'!Print_Area</vt:lpstr>
      <vt:lpstr>'Ex 7'!Print_Area</vt:lpstr>
      <vt:lpstr>'GAAP CF Act &amp; Forecast'!Print_Area</vt:lpstr>
      <vt:lpstr>'GAAP CF Actuals'!Print_Area</vt:lpstr>
      <vt:lpstr>'IS Actuals'!Print_Area</vt:lpstr>
      <vt:lpstr>'Summary Cash Flow'!Print_Area</vt:lpstr>
      <vt:lpstr>'Ex 1'!Print_Titles</vt:lpstr>
      <vt:lpstr>'IS Actual &amp; Forecast'!Print_Titles</vt:lpstr>
      <vt:lpstr>'IS for importing to SW'!Print_Titles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Campbell</dc:creator>
  <cp:lastModifiedBy>Salvatore Marino</cp:lastModifiedBy>
  <cp:lastPrinted>2015-12-09T15:16:53Z</cp:lastPrinted>
  <dcterms:created xsi:type="dcterms:W3CDTF">2003-08-10T16:21:04Z</dcterms:created>
  <dcterms:modified xsi:type="dcterms:W3CDTF">2020-01-17T14:26:15Z</dcterms:modified>
</cp:coreProperties>
</file>